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entelperu.sharepoint.com/sites/EDGIR/Documentos compartidos/2. INDICADORES DE CALIDAD/2022/02. Finales/"/>
    </mc:Choice>
  </mc:AlternateContent>
  <xr:revisionPtr revIDLastSave="17" documentId="8_{FE31EA99-F51B-47A1-B300-2B4861EF1CE5}" xr6:coauthVersionLast="47" xr6:coauthVersionMax="47" xr10:uidLastSave="{DD908C3C-9B7F-4D04-A720-601F534C148E}"/>
  <bookViews>
    <workbookView xWindow="-120" yWindow="-120" windowWidth="20730" windowHeight="11160" activeTab="2" xr2:uid="{00000000-000D-0000-FFFF-FFFF00000000}"/>
  </bookViews>
  <sheets>
    <sheet name="Anexo F (CSA)" sheetId="35" r:id="rId1"/>
    <sheet name="Anexo G (TEAP)" sheetId="36" r:id="rId2"/>
    <sheet name="Anexo H (DAP)" sheetId="37" r:id="rId3"/>
    <sheet name="Anexo I (CAT)" sheetId="6" r:id="rId4"/>
    <sheet name="Anexo J (AVH)" sheetId="29" r:id="rId5"/>
    <sheet name="Per + Emp" sheetId="33" state="hidden" r:id="rId6"/>
    <sheet name="TAB_Personas" sheetId="34" state="hidden" r:id="rId7"/>
  </sheets>
  <externalReferences>
    <externalReference r:id="rId8"/>
    <externalReference r:id="rId9"/>
  </externalReferences>
  <definedNames>
    <definedName name="_xlnm._FilterDatabase" localSheetId="0" hidden="1">'Anexo F (CSA)'!$G$13:$H$13</definedName>
    <definedName name="_xlnm._FilterDatabase" localSheetId="1" hidden="1">'Anexo G (TEAP)'!$B$12:$M$12</definedName>
  </definedNames>
  <calcPr calcId="191028"/>
  <pivotCaches>
    <pivotCache cacheId="273" r:id="rId1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6" i="37" l="1"/>
  <c r="D36" i="37"/>
  <c r="C36" i="37"/>
  <c r="D35" i="37"/>
  <c r="C35" i="37"/>
  <c r="E35" i="37" s="1"/>
  <c r="D34" i="37"/>
  <c r="C34" i="37"/>
  <c r="E34" i="37" s="1"/>
  <c r="E33" i="37"/>
  <c r="D33" i="37"/>
  <c r="C33" i="37"/>
  <c r="E32" i="37"/>
  <c r="D32" i="37"/>
  <c r="C32" i="37"/>
  <c r="D31" i="37"/>
  <c r="C31" i="37"/>
  <c r="E31" i="37" s="1"/>
  <c r="D30" i="37"/>
  <c r="C30" i="37"/>
  <c r="E30" i="37" s="1"/>
  <c r="D29" i="37"/>
  <c r="C29" i="37"/>
  <c r="E29" i="37" s="1"/>
  <c r="E28" i="37"/>
  <c r="D28" i="37"/>
  <c r="C28" i="37"/>
  <c r="D27" i="37"/>
  <c r="C27" i="37"/>
  <c r="E27" i="37" s="1"/>
  <c r="D26" i="37"/>
  <c r="C26" i="37"/>
  <c r="E26" i="37" s="1"/>
  <c r="E25" i="37"/>
  <c r="D25" i="37"/>
  <c r="C25" i="37"/>
  <c r="E24" i="37"/>
  <c r="D24" i="37"/>
  <c r="C24" i="37"/>
  <c r="D23" i="37"/>
  <c r="C23" i="37"/>
  <c r="E23" i="37" s="1"/>
  <c r="D22" i="37"/>
  <c r="C22" i="37"/>
  <c r="E22" i="37" s="1"/>
  <c r="D21" i="37"/>
  <c r="C21" i="37"/>
  <c r="E21" i="37" s="1"/>
  <c r="E20" i="37"/>
  <c r="D20" i="37"/>
  <c r="C20" i="37"/>
  <c r="D19" i="37"/>
  <c r="C19" i="37"/>
  <c r="E19" i="37" s="1"/>
  <c r="D18" i="37"/>
  <c r="C18" i="37"/>
  <c r="E18" i="37" s="1"/>
  <c r="D17" i="37"/>
  <c r="C17" i="37"/>
  <c r="E17" i="37" s="1"/>
  <c r="E16" i="37"/>
  <c r="D16" i="37"/>
  <c r="C16" i="37"/>
  <c r="D15" i="37"/>
  <c r="C15" i="37"/>
  <c r="E15" i="37" s="1"/>
  <c r="D14" i="37"/>
  <c r="D37" i="37" s="1"/>
  <c r="C14" i="37"/>
  <c r="E14" i="37" s="1"/>
  <c r="C8" i="37"/>
  <c r="C7" i="37"/>
  <c r="G80" i="36"/>
  <c r="F80" i="36"/>
  <c r="E80" i="36"/>
  <c r="D80" i="36"/>
  <c r="H80" i="36" s="1"/>
  <c r="G79" i="36"/>
  <c r="G81" i="36" s="1"/>
  <c r="F79" i="36"/>
  <c r="F81" i="36" s="1"/>
  <c r="E79" i="36"/>
  <c r="E81" i="36" s="1"/>
  <c r="D79" i="36"/>
  <c r="H79" i="36" s="1"/>
  <c r="H81" i="36" s="1"/>
  <c r="G77" i="36"/>
  <c r="F77" i="36"/>
  <c r="E77" i="36"/>
  <c r="D77" i="36"/>
  <c r="H77" i="36" s="1"/>
  <c r="G76" i="36"/>
  <c r="G78" i="36" s="1"/>
  <c r="F76" i="36"/>
  <c r="F78" i="36" s="1"/>
  <c r="E76" i="36"/>
  <c r="E78" i="36" s="1"/>
  <c r="D76" i="36"/>
  <c r="H76" i="36" s="1"/>
  <c r="H78" i="36" s="1"/>
  <c r="G74" i="36"/>
  <c r="F74" i="36"/>
  <c r="E74" i="36"/>
  <c r="D74" i="36"/>
  <c r="H74" i="36" s="1"/>
  <c r="G73" i="36"/>
  <c r="G75" i="36" s="1"/>
  <c r="F73" i="36"/>
  <c r="F75" i="36" s="1"/>
  <c r="E73" i="36"/>
  <c r="E75" i="36" s="1"/>
  <c r="D73" i="36"/>
  <c r="D75" i="36" s="1"/>
  <c r="E72" i="36"/>
  <c r="G71" i="36"/>
  <c r="F71" i="36"/>
  <c r="E71" i="36"/>
  <c r="D71" i="36"/>
  <c r="H71" i="36" s="1"/>
  <c r="G70" i="36"/>
  <c r="G72" i="36" s="1"/>
  <c r="F70" i="36"/>
  <c r="F72" i="36" s="1"/>
  <c r="E70" i="36"/>
  <c r="D70" i="36"/>
  <c r="D72" i="36" s="1"/>
  <c r="D69" i="36"/>
  <c r="G68" i="36"/>
  <c r="F68" i="36"/>
  <c r="E68" i="36"/>
  <c r="D68" i="36"/>
  <c r="H68" i="36" s="1"/>
  <c r="G67" i="36"/>
  <c r="G69" i="36" s="1"/>
  <c r="F67" i="36"/>
  <c r="F69" i="36" s="1"/>
  <c r="E67" i="36"/>
  <c r="E69" i="36" s="1"/>
  <c r="D67" i="36"/>
  <c r="H67" i="36" s="1"/>
  <c r="H69" i="36" s="1"/>
  <c r="G66" i="36"/>
  <c r="G65" i="36"/>
  <c r="F65" i="36"/>
  <c r="E65" i="36"/>
  <c r="D65" i="36"/>
  <c r="H65" i="36" s="1"/>
  <c r="G64" i="36"/>
  <c r="F64" i="36"/>
  <c r="F66" i="36" s="1"/>
  <c r="E64" i="36"/>
  <c r="E66" i="36" s="1"/>
  <c r="D64" i="36"/>
  <c r="H64" i="36" s="1"/>
  <c r="H66" i="36" s="1"/>
  <c r="G62" i="36"/>
  <c r="F62" i="36"/>
  <c r="E62" i="36"/>
  <c r="D62" i="36"/>
  <c r="H62" i="36" s="1"/>
  <c r="G61" i="36"/>
  <c r="G63" i="36" s="1"/>
  <c r="F61" i="36"/>
  <c r="F63" i="36" s="1"/>
  <c r="E61" i="36"/>
  <c r="E63" i="36" s="1"/>
  <c r="D61" i="36"/>
  <c r="D63" i="36" s="1"/>
  <c r="E60" i="36"/>
  <c r="G59" i="36"/>
  <c r="F59" i="36"/>
  <c r="E59" i="36"/>
  <c r="D59" i="36"/>
  <c r="H59" i="36" s="1"/>
  <c r="G58" i="36"/>
  <c r="G60" i="36" s="1"/>
  <c r="F58" i="36"/>
  <c r="F60" i="36" s="1"/>
  <c r="E58" i="36"/>
  <c r="D58" i="36"/>
  <c r="D60" i="36" s="1"/>
  <c r="D57" i="36"/>
  <c r="G56" i="36"/>
  <c r="F56" i="36"/>
  <c r="E56" i="36"/>
  <c r="D56" i="36"/>
  <c r="H56" i="36" s="1"/>
  <c r="G55" i="36"/>
  <c r="G57" i="36" s="1"/>
  <c r="F55" i="36"/>
  <c r="F57" i="36" s="1"/>
  <c r="E55" i="36"/>
  <c r="E57" i="36" s="1"/>
  <c r="D55" i="36"/>
  <c r="H55" i="36" s="1"/>
  <c r="H57" i="36" s="1"/>
  <c r="G53" i="36"/>
  <c r="F53" i="36"/>
  <c r="E53" i="36"/>
  <c r="D53" i="36"/>
  <c r="H53" i="36" s="1"/>
  <c r="G52" i="36"/>
  <c r="G54" i="36" s="1"/>
  <c r="F52" i="36"/>
  <c r="F54" i="36" s="1"/>
  <c r="E52" i="36"/>
  <c r="E54" i="36" s="1"/>
  <c r="D52" i="36"/>
  <c r="H52" i="36" s="1"/>
  <c r="H54" i="36" s="1"/>
  <c r="F51" i="36"/>
  <c r="G50" i="36"/>
  <c r="F50" i="36"/>
  <c r="E50" i="36"/>
  <c r="D50" i="36"/>
  <c r="H50" i="36" s="1"/>
  <c r="G49" i="36"/>
  <c r="G51" i="36" s="1"/>
  <c r="F49" i="36"/>
  <c r="E49" i="36"/>
  <c r="E51" i="36" s="1"/>
  <c r="D49" i="36"/>
  <c r="D51" i="36" s="1"/>
  <c r="E48" i="36"/>
  <c r="G47" i="36"/>
  <c r="F47" i="36"/>
  <c r="E47" i="36"/>
  <c r="D47" i="36"/>
  <c r="H47" i="36" s="1"/>
  <c r="G46" i="36"/>
  <c r="G48" i="36" s="1"/>
  <c r="F46" i="36"/>
  <c r="F48" i="36" s="1"/>
  <c r="E46" i="36"/>
  <c r="D46" i="36"/>
  <c r="D48" i="36" s="1"/>
  <c r="D45" i="36"/>
  <c r="G44" i="36"/>
  <c r="F44" i="36"/>
  <c r="E44" i="36"/>
  <c r="D44" i="36"/>
  <c r="H44" i="36" s="1"/>
  <c r="G43" i="36"/>
  <c r="G45" i="36" s="1"/>
  <c r="F43" i="36"/>
  <c r="F45" i="36" s="1"/>
  <c r="E43" i="36"/>
  <c r="E45" i="36" s="1"/>
  <c r="D43" i="36"/>
  <c r="H43" i="36" s="1"/>
  <c r="H45" i="36" s="1"/>
  <c r="G41" i="36"/>
  <c r="F41" i="36"/>
  <c r="E41" i="36"/>
  <c r="D41" i="36"/>
  <c r="H41" i="36" s="1"/>
  <c r="G40" i="36"/>
  <c r="G42" i="36" s="1"/>
  <c r="F40" i="36"/>
  <c r="F42" i="36" s="1"/>
  <c r="E40" i="36"/>
  <c r="E42" i="36" s="1"/>
  <c r="D40" i="36"/>
  <c r="H40" i="36" s="1"/>
  <c r="H42" i="36" s="1"/>
  <c r="G38" i="36"/>
  <c r="F38" i="36"/>
  <c r="E38" i="36"/>
  <c r="D38" i="36"/>
  <c r="H38" i="36" s="1"/>
  <c r="G37" i="36"/>
  <c r="G39" i="36" s="1"/>
  <c r="F37" i="36"/>
  <c r="F39" i="36" s="1"/>
  <c r="E37" i="36"/>
  <c r="E39" i="36" s="1"/>
  <c r="D37" i="36"/>
  <c r="D39" i="36" s="1"/>
  <c r="G35" i="36"/>
  <c r="F35" i="36"/>
  <c r="E35" i="36"/>
  <c r="D35" i="36"/>
  <c r="H35" i="36" s="1"/>
  <c r="G34" i="36"/>
  <c r="G36" i="36" s="1"/>
  <c r="F34" i="36"/>
  <c r="F36" i="36" s="1"/>
  <c r="E34" i="36"/>
  <c r="E36" i="36" s="1"/>
  <c r="D34" i="36"/>
  <c r="D36" i="36" s="1"/>
  <c r="G32" i="36"/>
  <c r="F32" i="36"/>
  <c r="E32" i="36"/>
  <c r="D32" i="36"/>
  <c r="H32" i="36" s="1"/>
  <c r="G31" i="36"/>
  <c r="G33" i="36" s="1"/>
  <c r="F31" i="36"/>
  <c r="F33" i="36" s="1"/>
  <c r="E31" i="36"/>
  <c r="E33" i="36" s="1"/>
  <c r="D31" i="36"/>
  <c r="H31" i="36" s="1"/>
  <c r="H33" i="36" s="1"/>
  <c r="G29" i="36"/>
  <c r="F29" i="36"/>
  <c r="E29" i="36"/>
  <c r="D29" i="36"/>
  <c r="H29" i="36" s="1"/>
  <c r="G28" i="36"/>
  <c r="G30" i="36" s="1"/>
  <c r="F28" i="36"/>
  <c r="F30" i="36" s="1"/>
  <c r="E28" i="36"/>
  <c r="E30" i="36" s="1"/>
  <c r="D28" i="36"/>
  <c r="H28" i="36" s="1"/>
  <c r="H30" i="36" s="1"/>
  <c r="G26" i="36"/>
  <c r="F26" i="36"/>
  <c r="E26" i="36"/>
  <c r="D26" i="36"/>
  <c r="H26" i="36" s="1"/>
  <c r="G25" i="36"/>
  <c r="G27" i="36" s="1"/>
  <c r="F25" i="36"/>
  <c r="F27" i="36" s="1"/>
  <c r="E25" i="36"/>
  <c r="E27" i="36" s="1"/>
  <c r="D25" i="36"/>
  <c r="D27" i="36" s="1"/>
  <c r="G24" i="36"/>
  <c r="G23" i="36"/>
  <c r="F23" i="36"/>
  <c r="E23" i="36"/>
  <c r="D23" i="36"/>
  <c r="H23" i="36" s="1"/>
  <c r="G22" i="36"/>
  <c r="F22" i="36"/>
  <c r="F24" i="36" s="1"/>
  <c r="E22" i="36"/>
  <c r="E24" i="36" s="1"/>
  <c r="D22" i="36"/>
  <c r="D24" i="36" s="1"/>
  <c r="F21" i="36"/>
  <c r="G20" i="36"/>
  <c r="F20" i="36"/>
  <c r="E20" i="36"/>
  <c r="D20" i="36"/>
  <c r="H20" i="36" s="1"/>
  <c r="G19" i="36"/>
  <c r="G21" i="36" s="1"/>
  <c r="F19" i="36"/>
  <c r="E19" i="36"/>
  <c r="E21" i="36" s="1"/>
  <c r="D19" i="36"/>
  <c r="H19" i="36" s="1"/>
  <c r="H21" i="36" s="1"/>
  <c r="E18" i="36"/>
  <c r="G17" i="36"/>
  <c r="F17" i="36"/>
  <c r="E17" i="36"/>
  <c r="D17" i="36"/>
  <c r="H17" i="36" s="1"/>
  <c r="G16" i="36"/>
  <c r="G18" i="36" s="1"/>
  <c r="F16" i="36"/>
  <c r="F18" i="36" s="1"/>
  <c r="E16" i="36"/>
  <c r="D16" i="36"/>
  <c r="H16" i="36" s="1"/>
  <c r="H18" i="36" s="1"/>
  <c r="G15" i="36"/>
  <c r="D15" i="36"/>
  <c r="G14" i="36"/>
  <c r="G83" i="36" s="1"/>
  <c r="F14" i="36"/>
  <c r="F83" i="36" s="1"/>
  <c r="E14" i="36"/>
  <c r="E83" i="36" s="1"/>
  <c r="D14" i="36"/>
  <c r="D83" i="36" s="1"/>
  <c r="G13" i="36"/>
  <c r="G82" i="36" s="1"/>
  <c r="G84" i="36" s="1"/>
  <c r="F13" i="36"/>
  <c r="F82" i="36" s="1"/>
  <c r="F84" i="36" s="1"/>
  <c r="E13" i="36"/>
  <c r="E15" i="36" s="1"/>
  <c r="D13" i="36"/>
  <c r="D82" i="36" s="1"/>
  <c r="D84" i="36" s="1"/>
  <c r="C37" i="37" l="1"/>
  <c r="E37" i="37" s="1"/>
  <c r="H13" i="36"/>
  <c r="F15" i="36"/>
  <c r="D21" i="36"/>
  <c r="H25" i="36"/>
  <c r="H27" i="36" s="1"/>
  <c r="D33" i="36"/>
  <c r="H37" i="36"/>
  <c r="H39" i="36" s="1"/>
  <c r="H49" i="36"/>
  <c r="H51" i="36" s="1"/>
  <c r="H61" i="36"/>
  <c r="H63" i="36" s="1"/>
  <c r="H73" i="36"/>
  <c r="H75" i="36" s="1"/>
  <c r="D81" i="36"/>
  <c r="H14" i="36"/>
  <c r="H83" i="36" s="1"/>
  <c r="D18" i="36"/>
  <c r="H22" i="36"/>
  <c r="H24" i="36" s="1"/>
  <c r="D30" i="36"/>
  <c r="H34" i="36"/>
  <c r="H36" i="36" s="1"/>
  <c r="D42" i="36"/>
  <c r="H46" i="36"/>
  <c r="H48" i="36" s="1"/>
  <c r="D54" i="36"/>
  <c r="H58" i="36"/>
  <c r="H60" i="36" s="1"/>
  <c r="D66" i="36"/>
  <c r="H70" i="36"/>
  <c r="H72" i="36" s="1"/>
  <c r="D78" i="36"/>
  <c r="E82" i="36"/>
  <c r="E84" i="36" s="1"/>
  <c r="H82" i="36" l="1"/>
  <c r="H84" i="36" s="1"/>
  <c r="H15" i="36"/>
  <c r="D40" i="35" l="1"/>
  <c r="C40" i="35"/>
  <c r="E40" i="35" s="1"/>
  <c r="E39" i="35"/>
  <c r="E38" i="35"/>
  <c r="E37" i="35"/>
  <c r="E36" i="35"/>
  <c r="E35" i="35"/>
  <c r="E34" i="35"/>
  <c r="E33" i="35"/>
  <c r="E32" i="35"/>
  <c r="E31" i="35"/>
  <c r="E30" i="35"/>
  <c r="E29" i="35"/>
  <c r="E28" i="35"/>
  <c r="E27" i="35"/>
  <c r="E26" i="35"/>
  <c r="E25" i="35"/>
  <c r="E24" i="35"/>
  <c r="E23" i="35"/>
  <c r="E22" i="35"/>
  <c r="E21" i="35"/>
  <c r="E20" i="35"/>
  <c r="E19" i="35"/>
  <c r="E18" i="35"/>
  <c r="E17" i="35"/>
  <c r="E16" i="35"/>
  <c r="E15" i="35"/>
  <c r="E14" i="35"/>
  <c r="M11" i="34" l="1"/>
  <c r="K3" i="34" l="1"/>
  <c r="C7" i="6" l="1"/>
  <c r="K4" i="34" l="1"/>
  <c r="E4" i="34" l="1"/>
  <c r="F4" i="34" s="1"/>
  <c r="F6" i="33"/>
  <c r="F9" i="33" l="1"/>
  <c r="E9" i="33"/>
  <c r="D9" i="33"/>
  <c r="C9" i="33"/>
  <c r="C8" i="33"/>
  <c r="C18" i="33" s="1"/>
  <c r="F8" i="33"/>
  <c r="F18" i="33" s="1"/>
  <c r="D8" i="33"/>
  <c r="D18" i="33" s="1"/>
  <c r="K6" i="34" l="1"/>
  <c r="F7" i="33"/>
  <c r="F17" i="33" s="1"/>
  <c r="F16" i="33"/>
  <c r="C15" i="29" s="1"/>
  <c r="F5" i="33"/>
  <c r="L6" i="34" l="1"/>
  <c r="N6" i="34" s="1"/>
  <c r="M6" i="34"/>
  <c r="F4" i="33"/>
  <c r="D15" i="29"/>
  <c r="D13" i="29"/>
  <c r="C13" i="29"/>
  <c r="E6" i="34"/>
  <c r="F6" i="34" s="1"/>
  <c r="F15" i="33"/>
  <c r="K5" i="34"/>
  <c r="C8" i="6"/>
  <c r="D7" i="33"/>
  <c r="D17" i="33" s="1"/>
  <c r="C17" i="29" s="1"/>
  <c r="C7" i="33"/>
  <c r="D6" i="33"/>
  <c r="D16" i="33" s="1"/>
  <c r="C19" i="29" s="1"/>
  <c r="C6" i="33"/>
  <c r="D5" i="33"/>
  <c r="C5" i="33"/>
  <c r="C17" i="33" l="1"/>
  <c r="D16" i="6" s="1"/>
  <c r="D4" i="33"/>
  <c r="L4" i="34"/>
  <c r="M4" i="34"/>
  <c r="H9" i="34" s="1"/>
  <c r="E3" i="34"/>
  <c r="M3" i="34"/>
  <c r="M5" i="34"/>
  <c r="L5" i="34"/>
  <c r="N5" i="34" s="1"/>
  <c r="N9" i="34" s="1"/>
  <c r="E13" i="29"/>
  <c r="C16" i="33"/>
  <c r="D15" i="6" s="1"/>
  <c r="D14" i="29"/>
  <c r="F14" i="33"/>
  <c r="C14" i="29"/>
  <c r="K7" i="34"/>
  <c r="E8" i="33"/>
  <c r="C15" i="33"/>
  <c r="D18" i="29" s="1"/>
  <c r="C4" i="33"/>
  <c r="E15" i="29"/>
  <c r="C8" i="29"/>
  <c r="E5" i="34"/>
  <c r="L3" i="34"/>
  <c r="E6" i="33"/>
  <c r="D15" i="33"/>
  <c r="D14" i="33" s="1"/>
  <c r="R6" i="34" l="1"/>
  <c r="D17" i="29"/>
  <c r="E17" i="29" s="1"/>
  <c r="M9" i="34"/>
  <c r="I10" i="34"/>
  <c r="N4" i="34"/>
  <c r="I9" i="34" s="1"/>
  <c r="J9" i="34" s="1"/>
  <c r="H10" i="34"/>
  <c r="H8" i="34"/>
  <c r="E7" i="33"/>
  <c r="E17" i="33" s="1"/>
  <c r="F5" i="34"/>
  <c r="E5" i="33"/>
  <c r="F3" i="34"/>
  <c r="E18" i="33"/>
  <c r="E16" i="33"/>
  <c r="L7" i="34"/>
  <c r="N3" i="34"/>
  <c r="E14" i="29"/>
  <c r="E7" i="34"/>
  <c r="D19" i="29"/>
  <c r="D14" i="6"/>
  <c r="C14" i="33"/>
  <c r="C18" i="29"/>
  <c r="J10" i="34" l="1"/>
  <c r="I8" i="34"/>
  <c r="J8" i="34" s="1"/>
  <c r="E4" i="33"/>
  <c r="E15" i="33"/>
  <c r="C14" i="6" s="1"/>
  <c r="E14" i="6" s="1"/>
  <c r="C15" i="6"/>
  <c r="C16" i="6"/>
  <c r="E18" i="29"/>
  <c r="E19" i="29"/>
  <c r="E14" i="33" l="1"/>
  <c r="E16" i="6"/>
  <c r="E15" i="6"/>
  <c r="D17" i="6"/>
  <c r="C17" i="6"/>
  <c r="E17" i="6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549C206-32DA-4598-ADC5-B102D8FD8437}" keepAlive="1" name="Consulta - PERSONAS" description="Conexión a la consulta 'PERSONAS' en el libro." type="5" refreshedVersion="8" background="1" saveData="1">
    <dbPr connection="Provider=Microsoft.Mashup.OleDb.1;Data Source=$Workbook$;Location=PERSONAS;Extended Properties=&quot;&quot;" command="SELECT * FROM [PERSONAS]"/>
  </connection>
</connections>
</file>

<file path=xl/sharedStrings.xml><?xml version="1.0" encoding="utf-8"?>
<sst xmlns="http://schemas.openxmlformats.org/spreadsheetml/2006/main" count="340" uniqueCount="146">
  <si>
    <t>ANEXO I</t>
  </si>
  <si>
    <t>INDICADOR DE CORTE DE LA ATENCIÓN TELEFÓNICA POR LA EMPRESA OPERADORAS</t>
  </si>
  <si>
    <t>FORMATO DE PRESENTACIÓN EN PÁGINA WEB</t>
  </si>
  <si>
    <t>Empresa:</t>
  </si>
  <si>
    <t>ENTEL PERU S.A.</t>
  </si>
  <si>
    <t>Año:</t>
  </si>
  <si>
    <t xml:space="preserve">Mes: </t>
  </si>
  <si>
    <t>Indicador:</t>
  </si>
  <si>
    <t>CORTE DE LA ATENCIÓN TELEFÓNICA POR LA EMPRESA OPERADORA (CAT)</t>
  </si>
  <si>
    <t>Objetivo: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</si>
  <si>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</si>
  <si>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</si>
  <si>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</si>
  <si>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</si>
  <si>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</si>
  <si>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IVR 102</t>
  </si>
  <si>
    <t>IVR 103</t>
  </si>
  <si>
    <t>IVR 123</t>
  </si>
  <si>
    <t xml:space="preserve">Total: </t>
  </si>
  <si>
    <t xml:space="preserve">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</si>
  <si>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</si>
  <si>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</si>
  <si>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</si>
  <si>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</si>
  <si>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</si>
  <si>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</si>
  <si>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</si>
  <si>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</si>
  <si>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INDICADOR AVH2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</si>
  <si>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</si>
  <si>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</si>
  <si>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</si>
  <si>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* Se reportan las llamadas atendidas por un agente ingresadas por el 102 (Reclamos)</t>
  </si>
  <si>
    <t>AVH - CAT</t>
  </si>
  <si>
    <t>Llamadas Atendidas</t>
  </si>
  <si>
    <t>Llamadas Atendidas &lt; 20 Seg</t>
  </si>
  <si>
    <t xml:space="preserve">Corte Asesor </t>
  </si>
  <si>
    <t>IVR</t>
  </si>
  <si>
    <t>Personas</t>
  </si>
  <si>
    <t>102</t>
  </si>
  <si>
    <t>103</t>
  </si>
  <si>
    <t>123</t>
  </si>
  <si>
    <t>133</t>
  </si>
  <si>
    <t>Empresas</t>
  </si>
  <si>
    <t>Total</t>
  </si>
  <si>
    <t>Canal</t>
  </si>
  <si>
    <t xml:space="preserve">Corte Cliente </t>
  </si>
  <si>
    <t>Corte No Identificado</t>
  </si>
  <si>
    <t>AGENTE</t>
  </si>
  <si>
    <t>CLIENTE</t>
  </si>
  <si>
    <t>Total general</t>
  </si>
  <si>
    <t>Considera Postpago, Prepago, TFM</t>
  </si>
  <si>
    <t>Internet Hogar</t>
  </si>
  <si>
    <t>Etiquetas de columna</t>
  </si>
  <si>
    <t>KONECTA</t>
  </si>
  <si>
    <t>SCCP</t>
  </si>
  <si>
    <t>CANAL</t>
  </si>
  <si>
    <t>BLOQUEOS PERSONAS</t>
  </si>
  <si>
    <t>CANAL ELITE</t>
  </si>
  <si>
    <t>POSTPAGO ORO</t>
  </si>
  <si>
    <t>POSTPAGO ORO TDE</t>
  </si>
  <si>
    <t>POSTPAGO PLATINO Y DIAMANTE</t>
  </si>
  <si>
    <t>POSTPAGO PLATINO Y DIAMANTE TDE</t>
  </si>
  <si>
    <t>PREPAGO ORO</t>
  </si>
  <si>
    <t>PREPAGO PLATINO</t>
  </si>
  <si>
    <t>TFI</t>
  </si>
  <si>
    <t>TFI TDE</t>
  </si>
  <si>
    <t>POSTPAGO RENOVACION IVR</t>
  </si>
  <si>
    <t>POSTPAGO PREVENCION</t>
  </si>
  <si>
    <t>POSTPAGO ELITE</t>
  </si>
  <si>
    <t>POSTPAGO PERFILADO LLAA</t>
  </si>
  <si>
    <t>Suma de RECIBIDAS</t>
  </si>
  <si>
    <t>POSTPAGO LINEAS ADICIONALES</t>
  </si>
  <si>
    <t>EMPLEADOS ENTEL</t>
  </si>
  <si>
    <t>BLOQUEOS PREPAGO</t>
  </si>
  <si>
    <t>POSTPAGO RETENCIONES</t>
  </si>
  <si>
    <t>Postpago Empleado</t>
  </si>
  <si>
    <t>POSTPAGO ROAMING</t>
  </si>
  <si>
    <t>BLOQUEOS POSTPAGO</t>
  </si>
  <si>
    <t>DIRECTORIO EMPRESAS</t>
  </si>
  <si>
    <t>DIRECTORIO PERSONAS</t>
  </si>
  <si>
    <t>PREPAGO AVERIAS</t>
  </si>
  <si>
    <t>(Varios elementos)</t>
  </si>
  <si>
    <t>POSTPAGO ORO AVERIAS</t>
  </si>
  <si>
    <t>POSTPAGO ORO RECLAMOS</t>
  </si>
  <si>
    <t xml:space="preserve">ANEXO F </t>
  </si>
  <si>
    <t>INDICADOR DE TASA DE CAIDAS DEL SISTEMA DE ATENCIÓN</t>
  </si>
  <si>
    <t>Mayo</t>
  </si>
  <si>
    <t>TASA DE CAIDAS DEL SISTEMA DE ATENCIÓN (CSA)</t>
  </si>
  <si>
    <t>Medir el porcentaje de horas en que estuvo inoperativo el sistema de atención de la empresa.</t>
  </si>
  <si>
    <t>Oficinas</t>
  </si>
  <si>
    <t xml:space="preserve">N° de horas sin sistema de atención al mes  </t>
  </si>
  <si>
    <t xml:space="preserve">N° total de horas de atención al mes </t>
  </si>
  <si>
    <t xml:space="preserve">CSA% </t>
  </si>
  <si>
    <t>TP AREQUIPA</t>
  </si>
  <si>
    <t>TP CHICLAYO</t>
  </si>
  <si>
    <t>TP CHIMBOTE</t>
  </si>
  <si>
    <t>TP HUANCAYO</t>
  </si>
  <si>
    <t>TP ICA</t>
  </si>
  <si>
    <t>TP LARCO</t>
  </si>
  <si>
    <t>TP PIURA</t>
  </si>
  <si>
    <t>TP REPUBLICA</t>
  </si>
  <si>
    <t>TP TRUJILLO</t>
  </si>
  <si>
    <t>TPF CERCADO</t>
  </si>
  <si>
    <t>TPF CHORRILLOS</t>
  </si>
  <si>
    <t>TPF CUSCO</t>
  </si>
  <si>
    <t>TPF HUACHO</t>
  </si>
  <si>
    <t>TPF ILO</t>
  </si>
  <si>
    <t>TPF JOCKEY PLAZA</t>
  </si>
  <si>
    <t>TPF MEGA PLAZA</t>
  </si>
  <si>
    <t>TPF MINKA</t>
  </si>
  <si>
    <t>TPF OPEN ANGAMOS</t>
  </si>
  <si>
    <t>TPF PLAZA SAN MIGUEL</t>
  </si>
  <si>
    <t>TPF SJ LURIGANCHO</t>
  </si>
  <si>
    <t>TPF TACNA</t>
  </si>
  <si>
    <t>TPF TALARA</t>
  </si>
  <si>
    <t>TPF TUMBES</t>
  </si>
  <si>
    <t xml:space="preserve">ANEXO G </t>
  </si>
  <si>
    <t>INDICADOR TIEMPO DE ESPERA PARA ATENCIÓN PRESENCIAL</t>
  </si>
  <si>
    <t>Junio</t>
  </si>
  <si>
    <t>TIEMPO DE ESPERA PARA ATENCIÓN PRESENCIAL (TEAP)</t>
  </si>
  <si>
    <t>Medir el porcentaje de los usuarios que esperaron menos de 15 minutos.</t>
  </si>
  <si>
    <t>Reclamos</t>
  </si>
  <si>
    <t>Bajas</t>
  </si>
  <si>
    <t>Consultas</t>
  </si>
  <si>
    <t>Altas</t>
  </si>
  <si>
    <t>TOTAL</t>
  </si>
  <si>
    <t>TPF AREQUIPA</t>
  </si>
  <si>
    <t>Nº de atenciones con espera menor a 15 min.</t>
  </si>
  <si>
    <t>Nº de atenciones totales</t>
  </si>
  <si>
    <t>% (TEAPij)</t>
  </si>
  <si>
    <t>TPF CHICLAYO</t>
  </si>
  <si>
    <t>TPF CHIMBOTE</t>
  </si>
  <si>
    <t>TPF HUANCAYO</t>
  </si>
  <si>
    <t>TPF ICA CENTRO</t>
  </si>
  <si>
    <t>TPF LARCO</t>
  </si>
  <si>
    <t>TPF PIURA GRAU</t>
  </si>
  <si>
    <t>TPF REPUBLICA</t>
  </si>
  <si>
    <t>TPF TRUJILLO LARCO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</si>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</sst>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%"/>
    <numFmt numFmtId="165" formatCode="_ * #,##0.00_ ;_ * \-#,##0.00_ ;_ * &quot;-&quot;??_ ;_ @_ "/>
    <numFmt numFmtId="166" formatCode="mmmm"/>
    <numFmt numFmtId="171" formatCode="0.0000"/>
    <numFmt numFmtId="172" formatCode="0.000%"/>
    <numFmt numFmtId="173" formatCode="0.000"/>
    <numFmt numFmtId="174" formatCode="#,##0_ ;\-#,##0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theme="4" tint="0.79998168889431442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3" fontId="0" fillId="0" borderId="0" xfId="0" applyNumberFormat="1"/>
    <xf numFmtId="3" fontId="0" fillId="0" borderId="2" xfId="0" applyNumberFormat="1" applyBorder="1" applyAlignment="1">
      <alignment horizontal="center"/>
    </xf>
    <xf numFmtId="164" fontId="0" fillId="0" borderId="0" xfId="0" applyNumberFormat="1"/>
    <xf numFmtId="0" fontId="1" fillId="0" borderId="4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1" fillId="2" borderId="2" xfId="2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5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/>
    <xf numFmtId="0" fontId="0" fillId="0" borderId="0" xfId="0" pivotButton="1"/>
    <xf numFmtId="3" fontId="1" fillId="3" borderId="7" xfId="0" applyNumberFormat="1" applyFont="1" applyFill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1" fillId="3" borderId="7" xfId="0" applyFont="1" applyFill="1" applyBorder="1"/>
    <xf numFmtId="0" fontId="0" fillId="0" borderId="7" xfId="0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6" fillId="5" borderId="0" xfId="0" applyFont="1" applyFill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/>
    </xf>
    <xf numFmtId="3" fontId="1" fillId="4" borderId="6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66" fontId="6" fillId="8" borderId="0" xfId="0" applyNumberFormat="1" applyFont="1" applyFill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10" fontId="0" fillId="0" borderId="0" xfId="1" applyNumberFormat="1" applyFont="1"/>
    <xf numFmtId="0" fontId="0" fillId="0" borderId="0" xfId="1" applyNumberFormat="1" applyFont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7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2" fontId="0" fillId="0" borderId="1" xfId="1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73" fontId="1" fillId="2" borderId="2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72" fontId="1" fillId="2" borderId="1" xfId="1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/>
    <xf numFmtId="0" fontId="8" fillId="9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3" fontId="9" fillId="0" borderId="1" xfId="0" applyNumberFormat="1" applyFont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9" fontId="0" fillId="0" borderId="0" xfId="1" applyFont="1"/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9" fontId="9" fillId="0" borderId="1" xfId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9" fontId="9" fillId="2" borderId="1" xfId="1" applyFont="1" applyFill="1" applyBorder="1" applyAlignment="1">
      <alignment horizontal="center" vertical="center"/>
    </xf>
    <xf numFmtId="0" fontId="10" fillId="0" borderId="0" xfId="0" applyFont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174" fontId="10" fillId="0" borderId="1" xfId="3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74" fontId="8" fillId="2" borderId="1" xfId="3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</cellXfs>
  <cellStyles count="4">
    <cellStyle name="Millares" xfId="3" builtinId="3"/>
    <cellStyle name="Millares 2" xfId="2" xr:uid="{00000000-0005-0000-0000-000000000000}"/>
    <cellStyle name="Normal" xfId="0" builtinId="0"/>
    <cellStyle name="Porcentaje" xfId="1" builtinId="5"/>
  </cellStyles>
  <dxfs count="31"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3" formatCode="#,##0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EDGIR/Documentos%20compartidos/2.%20INDICADORES%20DE%20CALIDAD/2022/01.%20Inputs/Usuarios/TEAP%20DAP/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EDGIR/Documentos%20compartidos/2.%20INDICADORES%20DE%20CALIDAD/2022/01.%20Inputs/Usuarios/TEAP%20DAP/TEAP%20DAP%20-%20Paolo%20Revello_202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1TOsipte"/>
      <sheetName val="_2TOsiptel"/>
      <sheetName val="_3TOsiptel"/>
      <sheetName val="Catalogo"/>
    </sheetNames>
    <sheetDataSet>
      <sheetData sheetId="0">
        <row r="1">
          <cell r="B1" t="str">
            <v>agencia</v>
          </cell>
          <cell r="C1" t="str">
            <v>Altas</v>
          </cell>
          <cell r="D1" t="str">
            <v>Baja</v>
          </cell>
          <cell r="E1" t="str">
            <v>Consulta</v>
          </cell>
          <cell r="F1" t="str">
            <v>Reclamo</v>
          </cell>
          <cell r="G1" t="str">
            <v>Total</v>
          </cell>
        </row>
        <row r="2">
          <cell r="B2" t="str">
            <v>TPF AREQUIPA</v>
          </cell>
          <cell r="C2">
            <v>804</v>
          </cell>
          <cell r="D2">
            <v>78</v>
          </cell>
          <cell r="E2">
            <v>3126</v>
          </cell>
          <cell r="F2">
            <v>787</v>
          </cell>
          <cell r="G2">
            <v>4795</v>
          </cell>
        </row>
        <row r="3">
          <cell r="B3" t="str">
            <v>TPF CERCADO</v>
          </cell>
          <cell r="C3">
            <v>463</v>
          </cell>
          <cell r="D3">
            <v>115</v>
          </cell>
          <cell r="E3">
            <v>4127</v>
          </cell>
          <cell r="F3">
            <v>760</v>
          </cell>
          <cell r="G3">
            <v>5465</v>
          </cell>
        </row>
        <row r="4">
          <cell r="B4" t="str">
            <v>TPF CHICLAYO</v>
          </cell>
          <cell r="C4">
            <v>351</v>
          </cell>
          <cell r="D4">
            <v>20</v>
          </cell>
          <cell r="E4">
            <v>1953</v>
          </cell>
          <cell r="F4">
            <v>249</v>
          </cell>
          <cell r="G4">
            <v>2573</v>
          </cell>
        </row>
        <row r="5">
          <cell r="B5" t="str">
            <v>TPF CHIMBOTE</v>
          </cell>
          <cell r="C5">
            <v>474</v>
          </cell>
          <cell r="D5">
            <v>219</v>
          </cell>
          <cell r="E5">
            <v>4827</v>
          </cell>
          <cell r="F5">
            <v>1002</v>
          </cell>
          <cell r="G5">
            <v>6522</v>
          </cell>
        </row>
        <row r="6">
          <cell r="B6" t="str">
            <v>TPF CHORRILLOS</v>
          </cell>
          <cell r="C6">
            <v>695</v>
          </cell>
          <cell r="D6">
            <v>207</v>
          </cell>
          <cell r="E6">
            <v>3163</v>
          </cell>
          <cell r="F6">
            <v>790</v>
          </cell>
          <cell r="G6">
            <v>4855</v>
          </cell>
        </row>
        <row r="7">
          <cell r="B7" t="str">
            <v>TPF CUSCO</v>
          </cell>
          <cell r="C7">
            <v>10</v>
          </cell>
          <cell r="D7">
            <v>2</v>
          </cell>
          <cell r="E7">
            <v>1541</v>
          </cell>
          <cell r="F7">
            <v>36</v>
          </cell>
          <cell r="G7">
            <v>1589</v>
          </cell>
        </row>
        <row r="8">
          <cell r="B8" t="str">
            <v>TPF HUACHO</v>
          </cell>
          <cell r="C8">
            <v>385</v>
          </cell>
          <cell r="D8">
            <v>96</v>
          </cell>
          <cell r="E8">
            <v>1487</v>
          </cell>
          <cell r="F8">
            <v>572</v>
          </cell>
          <cell r="G8">
            <v>2540</v>
          </cell>
        </row>
        <row r="9">
          <cell r="B9" t="str">
            <v>TPF HUANCAYO</v>
          </cell>
          <cell r="C9">
            <v>401</v>
          </cell>
          <cell r="D9">
            <v>366</v>
          </cell>
          <cell r="E9">
            <v>2516</v>
          </cell>
          <cell r="F9">
            <v>1959</v>
          </cell>
          <cell r="G9">
            <v>5242</v>
          </cell>
        </row>
        <row r="10">
          <cell r="B10" t="str">
            <v>TPF ICA CENTRO</v>
          </cell>
          <cell r="C10">
            <v>659</v>
          </cell>
          <cell r="D10">
            <v>56</v>
          </cell>
          <cell r="E10">
            <v>2129</v>
          </cell>
          <cell r="F10">
            <v>650</v>
          </cell>
          <cell r="G10">
            <v>3494</v>
          </cell>
        </row>
        <row r="11">
          <cell r="B11" t="str">
            <v>TPF ILO</v>
          </cell>
          <cell r="C11">
            <v>225</v>
          </cell>
          <cell r="D11">
            <v>9</v>
          </cell>
          <cell r="E11">
            <v>589</v>
          </cell>
          <cell r="F11">
            <v>37</v>
          </cell>
          <cell r="G11">
            <v>860</v>
          </cell>
        </row>
        <row r="12">
          <cell r="B12" t="str">
            <v>TPF JOCKEY PLAZA</v>
          </cell>
          <cell r="C12">
            <v>561</v>
          </cell>
          <cell r="D12">
            <v>270</v>
          </cell>
          <cell r="E12">
            <v>4145</v>
          </cell>
          <cell r="F12">
            <v>362</v>
          </cell>
          <cell r="G12">
            <v>5338</v>
          </cell>
        </row>
        <row r="13">
          <cell r="B13" t="str">
            <v>TPF LARCO</v>
          </cell>
          <cell r="C13">
            <v>89</v>
          </cell>
          <cell r="D13">
            <v>104</v>
          </cell>
          <cell r="E13">
            <v>2601</v>
          </cell>
          <cell r="F13">
            <v>1430</v>
          </cell>
          <cell r="G13">
            <v>4224</v>
          </cell>
        </row>
        <row r="14">
          <cell r="B14" t="str">
            <v>TPF MEGA PLAZA</v>
          </cell>
          <cell r="C14">
            <v>2183</v>
          </cell>
          <cell r="D14">
            <v>492</v>
          </cell>
          <cell r="E14">
            <v>9014</v>
          </cell>
          <cell r="F14">
            <v>1597</v>
          </cell>
          <cell r="G14">
            <v>13286</v>
          </cell>
        </row>
        <row r="15">
          <cell r="B15" t="str">
            <v>TPF MINKA</v>
          </cell>
          <cell r="C15">
            <v>826</v>
          </cell>
          <cell r="D15">
            <v>207</v>
          </cell>
          <cell r="E15">
            <v>4550</v>
          </cell>
          <cell r="F15">
            <v>829</v>
          </cell>
          <cell r="G15">
            <v>6412</v>
          </cell>
        </row>
        <row r="16">
          <cell r="B16" t="str">
            <v>TPF OPEN ANGAMOS</v>
          </cell>
          <cell r="C16">
            <v>705</v>
          </cell>
          <cell r="D16">
            <v>196</v>
          </cell>
          <cell r="E16">
            <v>2858</v>
          </cell>
          <cell r="F16">
            <v>446</v>
          </cell>
          <cell r="G16">
            <v>4205</v>
          </cell>
        </row>
        <row r="17">
          <cell r="B17" t="str">
            <v>TPF PIURA GRAU</v>
          </cell>
          <cell r="C17">
            <v>747</v>
          </cell>
          <cell r="D17">
            <v>155</v>
          </cell>
          <cell r="E17">
            <v>2541</v>
          </cell>
          <cell r="F17">
            <v>434</v>
          </cell>
          <cell r="G17">
            <v>3877</v>
          </cell>
        </row>
        <row r="18">
          <cell r="B18" t="str">
            <v>TPF PLAZA SAN MIGUEL</v>
          </cell>
          <cell r="C18">
            <v>1368</v>
          </cell>
          <cell r="D18">
            <v>379</v>
          </cell>
          <cell r="E18">
            <v>5109</v>
          </cell>
          <cell r="F18">
            <v>1506</v>
          </cell>
          <cell r="G18">
            <v>8362</v>
          </cell>
        </row>
        <row r="19">
          <cell r="B19" t="str">
            <v>TPF REPUBLICA</v>
          </cell>
          <cell r="C19">
            <v>186</v>
          </cell>
          <cell r="D19">
            <v>94</v>
          </cell>
          <cell r="E19">
            <v>2081</v>
          </cell>
          <cell r="F19">
            <v>377</v>
          </cell>
          <cell r="G19">
            <v>2738</v>
          </cell>
        </row>
        <row r="20">
          <cell r="B20" t="str">
            <v>TPF SJ LURIGANCHO</v>
          </cell>
          <cell r="C20">
            <v>890</v>
          </cell>
          <cell r="D20">
            <v>115</v>
          </cell>
          <cell r="E20">
            <v>6619</v>
          </cell>
          <cell r="F20">
            <v>317</v>
          </cell>
          <cell r="G20">
            <v>7941</v>
          </cell>
        </row>
        <row r="21">
          <cell r="B21" t="str">
            <v>TPF TACNA</v>
          </cell>
          <cell r="C21">
            <v>140</v>
          </cell>
          <cell r="D21">
            <v>0</v>
          </cell>
          <cell r="E21">
            <v>1800</v>
          </cell>
          <cell r="F21">
            <v>8</v>
          </cell>
          <cell r="G21">
            <v>1948</v>
          </cell>
        </row>
        <row r="22">
          <cell r="B22" t="str">
            <v>TPF TALARA</v>
          </cell>
          <cell r="C22">
            <v>346</v>
          </cell>
          <cell r="D22">
            <v>16</v>
          </cell>
          <cell r="E22">
            <v>702</v>
          </cell>
          <cell r="F22">
            <v>18</v>
          </cell>
          <cell r="G22">
            <v>1082</v>
          </cell>
        </row>
        <row r="23">
          <cell r="B23" t="str">
            <v>TPF TRUJILLO LARCO</v>
          </cell>
          <cell r="C23">
            <v>310</v>
          </cell>
          <cell r="D23">
            <v>200</v>
          </cell>
          <cell r="E23">
            <v>4077</v>
          </cell>
          <cell r="F23">
            <v>360</v>
          </cell>
          <cell r="G23">
            <v>4947</v>
          </cell>
        </row>
        <row r="24">
          <cell r="B24" t="str">
            <v>TPF TUMBES</v>
          </cell>
          <cell r="C24">
            <v>387</v>
          </cell>
          <cell r="D24">
            <v>3</v>
          </cell>
          <cell r="E24">
            <v>607</v>
          </cell>
          <cell r="F24">
            <v>93</v>
          </cell>
          <cell r="G24">
            <v>1090</v>
          </cell>
        </row>
      </sheetData>
      <sheetData sheetId="1">
        <row r="1">
          <cell r="B1" t="str">
            <v>agencia</v>
          </cell>
          <cell r="C1" t="str">
            <v>Altas</v>
          </cell>
          <cell r="D1" t="str">
            <v>Baja</v>
          </cell>
          <cell r="E1" t="str">
            <v>Consulta</v>
          </cell>
          <cell r="F1" t="str">
            <v>Reclamo</v>
          </cell>
        </row>
        <row r="2">
          <cell r="B2" t="str">
            <v>TPF AREQUIPA</v>
          </cell>
          <cell r="C2">
            <v>800</v>
          </cell>
          <cell r="D2">
            <v>77</v>
          </cell>
          <cell r="E2">
            <v>3046</v>
          </cell>
          <cell r="F2">
            <v>761</v>
          </cell>
        </row>
        <row r="3">
          <cell r="B3" t="str">
            <v>TPF CERCADO</v>
          </cell>
          <cell r="C3">
            <v>440</v>
          </cell>
          <cell r="D3">
            <v>103</v>
          </cell>
          <cell r="E3">
            <v>3436</v>
          </cell>
          <cell r="F3">
            <v>627</v>
          </cell>
        </row>
        <row r="4">
          <cell r="B4" t="str">
            <v>TPF CHICLAYO</v>
          </cell>
          <cell r="C4">
            <v>350</v>
          </cell>
          <cell r="D4">
            <v>20</v>
          </cell>
          <cell r="E4">
            <v>1938</v>
          </cell>
          <cell r="F4">
            <v>248</v>
          </cell>
        </row>
        <row r="5">
          <cell r="B5" t="str">
            <v>TPF CHIMBOTE</v>
          </cell>
          <cell r="C5">
            <v>474</v>
          </cell>
          <cell r="D5">
            <v>219</v>
          </cell>
          <cell r="E5">
            <v>4827</v>
          </cell>
          <cell r="F5">
            <v>1001</v>
          </cell>
        </row>
        <row r="6">
          <cell r="B6" t="str">
            <v>TPF CHORRILLOS</v>
          </cell>
          <cell r="C6">
            <v>692</v>
          </cell>
          <cell r="D6">
            <v>206</v>
          </cell>
          <cell r="E6">
            <v>3111</v>
          </cell>
          <cell r="F6">
            <v>769</v>
          </cell>
        </row>
        <row r="7">
          <cell r="B7" t="str">
            <v>TPF CUSCO</v>
          </cell>
          <cell r="C7">
            <v>10</v>
          </cell>
          <cell r="D7">
            <v>1</v>
          </cell>
          <cell r="E7">
            <v>1345</v>
          </cell>
          <cell r="F7">
            <v>29</v>
          </cell>
        </row>
        <row r="8">
          <cell r="B8" t="str">
            <v>TPF HUACHO</v>
          </cell>
          <cell r="C8">
            <v>380</v>
          </cell>
          <cell r="D8">
            <v>86</v>
          </cell>
          <cell r="E8">
            <v>1386</v>
          </cell>
          <cell r="F8">
            <v>525</v>
          </cell>
        </row>
        <row r="9">
          <cell r="B9" t="str">
            <v>TPF HUANCAYO</v>
          </cell>
          <cell r="C9">
            <v>362</v>
          </cell>
          <cell r="D9">
            <v>330</v>
          </cell>
          <cell r="E9">
            <v>2354</v>
          </cell>
          <cell r="F9">
            <v>1713</v>
          </cell>
        </row>
        <row r="10">
          <cell r="B10" t="str">
            <v>TPF ICA CENTRO</v>
          </cell>
          <cell r="C10">
            <v>654</v>
          </cell>
          <cell r="D10">
            <v>53</v>
          </cell>
          <cell r="E10">
            <v>2042</v>
          </cell>
          <cell r="F10">
            <v>619</v>
          </cell>
        </row>
        <row r="11">
          <cell r="B11" t="str">
            <v>TPF ILO</v>
          </cell>
          <cell r="C11">
            <v>221</v>
          </cell>
          <cell r="D11">
            <v>7</v>
          </cell>
          <cell r="E11">
            <v>540</v>
          </cell>
          <cell r="F11">
            <v>35</v>
          </cell>
        </row>
        <row r="12">
          <cell r="B12" t="str">
            <v>TPF JOCKEY PLAZA</v>
          </cell>
          <cell r="C12">
            <v>536</v>
          </cell>
          <cell r="D12">
            <v>241</v>
          </cell>
          <cell r="E12">
            <v>3808</v>
          </cell>
          <cell r="F12">
            <v>332</v>
          </cell>
        </row>
        <row r="13">
          <cell r="B13" t="str">
            <v>TPF LARCO</v>
          </cell>
          <cell r="C13">
            <v>89</v>
          </cell>
          <cell r="D13">
            <v>96</v>
          </cell>
          <cell r="E13">
            <v>2520</v>
          </cell>
          <cell r="F13">
            <v>1327</v>
          </cell>
        </row>
        <row r="14">
          <cell r="B14" t="str">
            <v>TPF MEGA PLAZA</v>
          </cell>
          <cell r="C14">
            <v>2167</v>
          </cell>
          <cell r="D14">
            <v>481</v>
          </cell>
          <cell r="E14">
            <v>8796</v>
          </cell>
          <cell r="F14">
            <v>1550</v>
          </cell>
        </row>
        <row r="15">
          <cell r="B15" t="str">
            <v>TPF MINKA</v>
          </cell>
          <cell r="C15">
            <v>820</v>
          </cell>
          <cell r="D15">
            <v>200</v>
          </cell>
          <cell r="E15">
            <v>4413</v>
          </cell>
          <cell r="F15">
            <v>793</v>
          </cell>
        </row>
        <row r="16">
          <cell r="B16" t="str">
            <v>TPF OPEN ANGAMOS</v>
          </cell>
          <cell r="C16">
            <v>695</v>
          </cell>
          <cell r="D16">
            <v>187</v>
          </cell>
          <cell r="E16">
            <v>2720</v>
          </cell>
          <cell r="F16">
            <v>407</v>
          </cell>
        </row>
        <row r="17">
          <cell r="B17" t="str">
            <v>TPF PIURA GRAU</v>
          </cell>
          <cell r="C17">
            <v>736</v>
          </cell>
          <cell r="D17">
            <v>148</v>
          </cell>
          <cell r="E17">
            <v>2375</v>
          </cell>
          <cell r="F17">
            <v>404</v>
          </cell>
        </row>
        <row r="18">
          <cell r="B18" t="str">
            <v>TPF PLAZA SAN MIGUEL</v>
          </cell>
          <cell r="C18">
            <v>1335</v>
          </cell>
          <cell r="D18">
            <v>340</v>
          </cell>
          <cell r="E18">
            <v>4646</v>
          </cell>
          <cell r="F18">
            <v>1355</v>
          </cell>
        </row>
        <row r="19">
          <cell r="B19" t="str">
            <v>TPF REPUBLICA</v>
          </cell>
          <cell r="C19">
            <v>180</v>
          </cell>
          <cell r="D19">
            <v>93</v>
          </cell>
          <cell r="E19">
            <v>2032</v>
          </cell>
          <cell r="F19">
            <v>365</v>
          </cell>
        </row>
        <row r="20">
          <cell r="B20" t="str">
            <v>TPF SJ LURIGANCHO</v>
          </cell>
          <cell r="C20">
            <v>880</v>
          </cell>
          <cell r="D20">
            <v>106</v>
          </cell>
          <cell r="E20">
            <v>6109</v>
          </cell>
          <cell r="F20">
            <v>289</v>
          </cell>
        </row>
        <row r="21">
          <cell r="B21" t="str">
            <v>TPF TACNA</v>
          </cell>
          <cell r="C21">
            <v>133</v>
          </cell>
          <cell r="D21"/>
          <cell r="E21">
            <v>1716</v>
          </cell>
          <cell r="F21">
            <v>6</v>
          </cell>
        </row>
        <row r="22">
          <cell r="B22" t="str">
            <v>TPF TALARA</v>
          </cell>
          <cell r="C22">
            <v>344</v>
          </cell>
          <cell r="D22">
            <v>16</v>
          </cell>
          <cell r="E22">
            <v>694</v>
          </cell>
          <cell r="F22">
            <v>17</v>
          </cell>
        </row>
        <row r="23">
          <cell r="B23" t="str">
            <v>TPF TRUJILLO LARCO</v>
          </cell>
          <cell r="C23">
            <v>301</v>
          </cell>
          <cell r="D23">
            <v>173</v>
          </cell>
          <cell r="E23">
            <v>3635</v>
          </cell>
          <cell r="F23">
            <v>321</v>
          </cell>
        </row>
        <row r="24">
          <cell r="B24" t="str">
            <v>TPF TUMBES</v>
          </cell>
          <cell r="C24">
            <v>385</v>
          </cell>
          <cell r="D24">
            <v>3</v>
          </cell>
          <cell r="E24">
            <v>606</v>
          </cell>
          <cell r="F24">
            <v>93</v>
          </cell>
        </row>
      </sheetData>
      <sheetData sheetId="2">
        <row r="1">
          <cell r="B1" t="str">
            <v>agencia</v>
          </cell>
          <cell r="C1" t="str">
            <v>Altas</v>
          </cell>
          <cell r="D1" t="str">
            <v>Baja</v>
          </cell>
          <cell r="E1" t="str">
            <v>Consulta</v>
          </cell>
          <cell r="F1" t="str">
            <v>Reclamo</v>
          </cell>
          <cell r="G1" t="str">
            <v>Total</v>
          </cell>
        </row>
        <row r="2">
          <cell r="B2" t="str">
            <v>TPF AREQUIPA</v>
          </cell>
          <cell r="C2">
            <v>18</v>
          </cell>
          <cell r="D2">
            <v>2</v>
          </cell>
          <cell r="E2">
            <v>78</v>
          </cell>
          <cell r="F2">
            <v>24</v>
          </cell>
          <cell r="G2">
            <v>122</v>
          </cell>
        </row>
        <row r="3">
          <cell r="B3" t="str">
            <v>TPF CERCADO</v>
          </cell>
          <cell r="C3">
            <v>5</v>
          </cell>
          <cell r="D3">
            <v>0</v>
          </cell>
          <cell r="E3">
            <v>42</v>
          </cell>
          <cell r="F3">
            <v>3</v>
          </cell>
          <cell r="G3">
            <v>50</v>
          </cell>
        </row>
        <row r="4">
          <cell r="B4" t="str">
            <v>TPF CHICLAYO</v>
          </cell>
          <cell r="C4">
            <v>4</v>
          </cell>
          <cell r="D4">
            <v>0</v>
          </cell>
          <cell r="E4">
            <v>37</v>
          </cell>
          <cell r="F4">
            <v>3</v>
          </cell>
          <cell r="G4">
            <v>44</v>
          </cell>
        </row>
        <row r="5">
          <cell r="B5" t="str">
            <v>TPF CHIMBOTE</v>
          </cell>
          <cell r="C5">
            <v>15</v>
          </cell>
          <cell r="D5">
            <v>4</v>
          </cell>
          <cell r="E5">
            <v>109</v>
          </cell>
          <cell r="F5">
            <v>17</v>
          </cell>
          <cell r="G5">
            <v>145</v>
          </cell>
        </row>
        <row r="6">
          <cell r="B6" t="str">
            <v>TPF CHORRILLOS</v>
          </cell>
          <cell r="C6">
            <v>7</v>
          </cell>
          <cell r="D6">
            <v>6</v>
          </cell>
          <cell r="E6">
            <v>34</v>
          </cell>
          <cell r="F6">
            <v>10</v>
          </cell>
          <cell r="G6">
            <v>57</v>
          </cell>
        </row>
        <row r="7">
          <cell r="B7" t="str">
            <v>TPF CUSCO</v>
          </cell>
          <cell r="C7">
            <v>0</v>
          </cell>
          <cell r="D7">
            <v>2</v>
          </cell>
          <cell r="E7">
            <v>23</v>
          </cell>
          <cell r="F7">
            <v>0</v>
          </cell>
          <cell r="G7">
            <v>25</v>
          </cell>
        </row>
        <row r="8">
          <cell r="B8" t="str">
            <v>TPF HUACHO</v>
          </cell>
          <cell r="C8">
            <v>4</v>
          </cell>
          <cell r="D8">
            <v>2</v>
          </cell>
          <cell r="E8">
            <v>16</v>
          </cell>
          <cell r="F8">
            <v>9</v>
          </cell>
          <cell r="G8">
            <v>31</v>
          </cell>
        </row>
        <row r="9">
          <cell r="B9" t="str">
            <v>TPF HUANCAYO</v>
          </cell>
          <cell r="C9">
            <v>12</v>
          </cell>
          <cell r="D9">
            <v>5</v>
          </cell>
          <cell r="E9">
            <v>34</v>
          </cell>
          <cell r="F9">
            <v>21</v>
          </cell>
          <cell r="G9">
            <v>72</v>
          </cell>
        </row>
        <row r="10">
          <cell r="B10" t="str">
            <v>TPF ICA CENTRO</v>
          </cell>
          <cell r="C10">
            <v>4</v>
          </cell>
          <cell r="D10">
            <v>1</v>
          </cell>
          <cell r="E10">
            <v>24</v>
          </cell>
          <cell r="F10">
            <v>15</v>
          </cell>
          <cell r="G10">
            <v>44</v>
          </cell>
        </row>
        <row r="11">
          <cell r="B11" t="str">
            <v>TPF ILO</v>
          </cell>
          <cell r="C11">
            <v>5</v>
          </cell>
          <cell r="D11">
            <v>0</v>
          </cell>
          <cell r="E11">
            <v>9</v>
          </cell>
          <cell r="F11">
            <v>2</v>
          </cell>
          <cell r="G11">
            <v>16</v>
          </cell>
        </row>
        <row r="12">
          <cell r="B12" t="str">
            <v>TPF JOCKEY PLAZA</v>
          </cell>
          <cell r="C12">
            <v>7</v>
          </cell>
          <cell r="D12">
            <v>8</v>
          </cell>
          <cell r="E12">
            <v>56</v>
          </cell>
          <cell r="F12">
            <v>3</v>
          </cell>
          <cell r="G12">
            <v>74</v>
          </cell>
        </row>
        <row r="13">
          <cell r="B13" t="str">
            <v>TPF LARCO</v>
          </cell>
          <cell r="C13">
            <v>1</v>
          </cell>
          <cell r="D13">
            <v>2</v>
          </cell>
          <cell r="E13">
            <v>23</v>
          </cell>
          <cell r="F13">
            <v>11</v>
          </cell>
          <cell r="G13">
            <v>37</v>
          </cell>
        </row>
        <row r="14">
          <cell r="B14" t="str">
            <v>TPF MEGA PLAZA</v>
          </cell>
          <cell r="C14">
            <v>27</v>
          </cell>
          <cell r="D14">
            <v>7</v>
          </cell>
          <cell r="E14">
            <v>155</v>
          </cell>
          <cell r="F14">
            <v>18</v>
          </cell>
          <cell r="G14">
            <v>207</v>
          </cell>
        </row>
        <row r="15">
          <cell r="B15" t="str">
            <v>TPF MINKA</v>
          </cell>
          <cell r="C15">
            <v>9</v>
          </cell>
          <cell r="D15">
            <v>8</v>
          </cell>
          <cell r="E15">
            <v>95</v>
          </cell>
          <cell r="F15">
            <v>10</v>
          </cell>
          <cell r="G15">
            <v>122</v>
          </cell>
        </row>
        <row r="16">
          <cell r="B16" t="str">
            <v>TPF OPEN ANGAMOS</v>
          </cell>
          <cell r="C16">
            <v>3</v>
          </cell>
          <cell r="D16">
            <v>5</v>
          </cell>
          <cell r="E16">
            <v>22</v>
          </cell>
          <cell r="F16">
            <v>3</v>
          </cell>
          <cell r="G16">
            <v>33</v>
          </cell>
        </row>
        <row r="17">
          <cell r="B17" t="str">
            <v>TPF PIURA GRAU</v>
          </cell>
          <cell r="C17">
            <v>11</v>
          </cell>
          <cell r="D17">
            <v>0</v>
          </cell>
          <cell r="E17">
            <v>28</v>
          </cell>
          <cell r="F17">
            <v>3</v>
          </cell>
          <cell r="G17">
            <v>42</v>
          </cell>
        </row>
        <row r="18">
          <cell r="B18" t="str">
            <v>TPF PLAZA SAN MIGUEL</v>
          </cell>
          <cell r="C18">
            <v>49</v>
          </cell>
          <cell r="D18">
            <v>4</v>
          </cell>
          <cell r="E18">
            <v>171</v>
          </cell>
          <cell r="F18">
            <v>34</v>
          </cell>
          <cell r="G18">
            <v>258</v>
          </cell>
        </row>
        <row r="19">
          <cell r="B19" t="str">
            <v>TPF REPUBLICA</v>
          </cell>
          <cell r="C19">
            <v>0</v>
          </cell>
          <cell r="D19">
            <v>0</v>
          </cell>
          <cell r="E19">
            <v>45</v>
          </cell>
          <cell r="F19">
            <v>5</v>
          </cell>
          <cell r="G19">
            <v>50</v>
          </cell>
        </row>
        <row r="20">
          <cell r="B20" t="str">
            <v>TPF SJ LURIGANCHO</v>
          </cell>
          <cell r="C20">
            <v>3</v>
          </cell>
          <cell r="D20">
            <v>2</v>
          </cell>
          <cell r="E20">
            <v>63</v>
          </cell>
          <cell r="F20">
            <v>7</v>
          </cell>
          <cell r="G20">
            <v>75</v>
          </cell>
        </row>
        <row r="21">
          <cell r="B21" t="str">
            <v>TPF TACNA</v>
          </cell>
          <cell r="C21">
            <v>0</v>
          </cell>
          <cell r="D21"/>
          <cell r="E21">
            <v>41</v>
          </cell>
          <cell r="F21">
            <v>0</v>
          </cell>
          <cell r="G21">
            <v>41</v>
          </cell>
        </row>
        <row r="22">
          <cell r="B22" t="str">
            <v>TPF TALARA</v>
          </cell>
          <cell r="C22">
            <v>2</v>
          </cell>
          <cell r="D22">
            <v>0</v>
          </cell>
          <cell r="E22">
            <v>12</v>
          </cell>
          <cell r="F22">
            <v>1</v>
          </cell>
          <cell r="G22">
            <v>15</v>
          </cell>
        </row>
        <row r="23">
          <cell r="B23" t="str">
            <v>TPF TRUJILLO LARCO</v>
          </cell>
          <cell r="C23">
            <v>5</v>
          </cell>
          <cell r="D23">
            <v>3</v>
          </cell>
          <cell r="E23">
            <v>76</v>
          </cell>
          <cell r="F23">
            <v>8</v>
          </cell>
          <cell r="G23">
            <v>92</v>
          </cell>
        </row>
        <row r="24">
          <cell r="B24" t="str">
            <v>TPF TUMBES</v>
          </cell>
          <cell r="C24">
            <v>14</v>
          </cell>
          <cell r="D24">
            <v>1</v>
          </cell>
          <cell r="E24">
            <v>26</v>
          </cell>
          <cell r="F24">
            <v>3</v>
          </cell>
          <cell r="G24">
            <v>44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F (CSA)"/>
      <sheetName val="Anexo G (TEAP)"/>
      <sheetName val="Anexo H (DAP)"/>
      <sheetName val="Anexo I (CAT)"/>
      <sheetName val="Anexo J (AVH)"/>
    </sheetNames>
    <sheetDataSet>
      <sheetData sheetId="0" refreshError="1"/>
      <sheetData sheetId="1">
        <row r="7">
          <cell r="C7">
            <v>2022</v>
          </cell>
        </row>
        <row r="8">
          <cell r="C8" t="str">
            <v>Junio</v>
          </cell>
        </row>
      </sheetData>
      <sheetData sheetId="2" refreshError="1"/>
      <sheetData sheetId="3" refreshError="1"/>
      <sheetData sheetId="4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ubas Bravo, Roberto" refreshedDate="44760.853291087966" backgroundQuery="1" createdVersion="6" refreshedVersion="8" minRefreshableVersion="3" recordCount="89" xr:uid="{CCE041CF-5C32-4736-B592-341398E059E8}">
  <cacheSource type="external" connectionId="1"/>
  <cacheFields count="12">
    <cacheField name="NUMPERIODO" numFmtId="0">
      <sharedItems containsSemiMixedTypes="0" containsString="0" containsNumber="1" containsInteger="1" minValue="202206" maxValue="202206" count="1">
        <n v="202206"/>
      </sharedItems>
    </cacheField>
    <cacheField name="VCHCAL" numFmtId="0">
      <sharedItems count="3">
        <s v="SCCP"/>
        <s v="KONECTA"/>
        <s v="TIENDAS" u="1"/>
      </sharedItems>
    </cacheField>
    <cacheField name="VCHPLATAFORMA_SEGMENTACION" numFmtId="0">
      <sharedItems count="41">
        <s v="POSTPAGO ORO"/>
        <s v="POSTPAGO RENOVACION IVR"/>
        <s v="POSTPAGO PLATINO Y DIAMANTE"/>
        <s v="POSTPAGO PLATINO Y DIAMANTE TDE"/>
        <s v="POSTPAGO ELITE"/>
        <s v="POSTPAGO ORO AVERIAS"/>
        <s v="POSTPAGO ORO TDE"/>
        <s v="TFI"/>
        <s v="EMPLEADOS ENTEL"/>
        <s v="INTERNET PERSONAS"/>
        <s v="INTERNET PERSONAS AVERIAS"/>
        <s v="POSTPAGO PERFILADO LLAA"/>
        <s v="PREPAGO ORO"/>
        <s v="PREPAGO PLATINO"/>
        <s v="PREPAGO AVERIAS"/>
        <s v="INTERNET PERSONAS TDE"/>
        <s v="TFI TDE"/>
        <s v="BLOQUEOS PREPAGO"/>
        <s v="FIBRA"/>
        <s v="CANAL ELITE"/>
        <s v="POSTPAGO LINEAS ADICIONALES"/>
        <s v="POSTPAGO RETENCIONES"/>
        <s v="FIBRA PROBLEMAS"/>
        <s v="VENTAS HOGAR"/>
        <s v="DIRECTORIO EMPRESAS"/>
        <s v="FIBRA RECLAMOS"/>
        <s v="Postpago Empleado"/>
        <s v="BLOQUEOS PERSONAS"/>
        <s v="POSTPAGO ROAMING"/>
        <s v="POSTPAGO PREVENCION"/>
        <s v="DIRECTORIO PERSONAS"/>
        <s v="POSTPAGO ORO RECLAMOS"/>
        <s v="BLOQUEOS POSTPAGO"/>
        <s v="POSTPAGO ORO TIENDAS" u="1"/>
        <s v="POSTPAGO PLATINO Y DIAMANTE TDE TIENDAS" u="1"/>
        <s v="POSTPAGO PLATINO Y DIAMANTE TIENDAS" u="1"/>
        <s v="POSTPAGO FRACCIONAMIENTO" u="1"/>
        <s v="POSTPAGO LINEAS ADICIONALES APP" u="1"/>
        <s v="POSTPAGO LINEAS ADICIONALES - NO PERFILADO" u="1"/>
        <s v="POSTPAGO RENOVACION APP" u="1"/>
        <s v="POSTPAGO ORO TDE TIENDAS" u="1"/>
      </sharedItems>
    </cacheField>
    <cacheField name="VCHSERVICIO" numFmtId="0">
      <sharedItems/>
    </cacheField>
    <cacheField name="SERVICIO" numFmtId="0">
      <sharedItems count="8">
        <s v="POSTPAGO"/>
        <s v="PREPAGO 102"/>
        <s v="TFI"/>
        <s v="INTERNET PERSONAS"/>
        <s v="PREPAGO"/>
        <s v="OTROS"/>
        <s v="BLOQUEO"/>
        <s v="DIRECTORIO"/>
      </sharedItems>
    </cacheField>
    <cacheField name="CANAL" numFmtId="0">
      <sharedItems count="4">
        <s v="123"/>
        <s v="102"/>
        <s v="133"/>
        <s v="103"/>
      </sharedItems>
    </cacheField>
    <cacheField name="RECIBIDAS" numFmtId="0">
      <sharedItems containsSemiMixedTypes="0" containsString="0" containsNumber="1" containsInteger="1" minValue="1" maxValue="91892"/>
    </cacheField>
    <cacheField name="ATENDIDAS" numFmtId="0">
      <sharedItems containsSemiMixedTypes="0" containsString="0" containsNumber="1" containsInteger="1" minValue="0" maxValue="88160"/>
    </cacheField>
    <cacheField name="ATENDIDAS_&lt;20" numFmtId="0">
      <sharedItems containsSemiMixedTypes="0" containsString="0" containsNumber="1" containsInteger="1" minValue="0" maxValue="74128"/>
    </cacheField>
    <cacheField name="CORTE_ASESOR" numFmtId="0">
      <sharedItems containsSemiMixedTypes="0" containsString="0" containsNumber="1" containsInteger="1" minValue="0" maxValue="6500"/>
    </cacheField>
    <cacheField name="CORTE_CLIENTE" numFmtId="0">
      <sharedItems containsSemiMixedTypes="0" containsString="0" containsNumber="1" containsInteger="1" minValue="0" maxValue="81660"/>
    </cacheField>
    <cacheField name="NO_IDENTIFICADO" numFmtId="0">
      <sharedItems containsSemiMixedTypes="0" containsString="0" containsNumber="1" containsInteger="1" minValue="0" maxValue="392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9">
  <r>
    <x v="0"/>
    <x v="0"/>
    <x v="0"/>
    <s v="Entel Peru Postpago Oro"/>
    <x v="0"/>
    <x v="0"/>
    <n v="4572"/>
    <n v="2585"/>
    <n v="1170"/>
    <n v="148"/>
    <n v="2437"/>
    <n v="0"/>
  </r>
  <r>
    <x v="0"/>
    <x v="0"/>
    <x v="0"/>
    <s v="Entel Peru Postpago Oro Reclamos"/>
    <x v="0"/>
    <x v="0"/>
    <n v="1534"/>
    <n v="738"/>
    <n v="308"/>
    <n v="44"/>
    <n v="694"/>
    <n v="0"/>
  </r>
  <r>
    <x v="0"/>
    <x v="0"/>
    <x v="1"/>
    <s v="Postpago Renovacion IVR"/>
    <x v="0"/>
    <x v="0"/>
    <n v="12332"/>
    <n v="10770"/>
    <n v="9304"/>
    <n v="565"/>
    <n v="10205"/>
    <n v="0"/>
  </r>
  <r>
    <x v="0"/>
    <x v="0"/>
    <x v="2"/>
    <s v="Postpago Diamante Reclamos"/>
    <x v="0"/>
    <x v="0"/>
    <n v="160"/>
    <n v="91"/>
    <n v="29"/>
    <n v="3"/>
    <n v="88"/>
    <n v="0"/>
  </r>
  <r>
    <x v="0"/>
    <x v="0"/>
    <x v="3"/>
    <s v="TDEP Entel Peru Postpago Platino"/>
    <x v="0"/>
    <x v="0"/>
    <n v="138"/>
    <n v="59"/>
    <n v="29"/>
    <n v="3"/>
    <n v="56"/>
    <n v="0"/>
  </r>
  <r>
    <x v="0"/>
    <x v="1"/>
    <x v="4"/>
    <s v="POSTPAGO ELITE"/>
    <x v="0"/>
    <x v="0"/>
    <n v="6371"/>
    <n v="6036"/>
    <n v="5285"/>
    <n v="114"/>
    <n v="3834"/>
    <n v="2088"/>
  </r>
  <r>
    <x v="0"/>
    <x v="1"/>
    <x v="3"/>
    <s v="POSTPAGO DIAMANTE TDE"/>
    <x v="0"/>
    <x v="0"/>
    <n v="1239"/>
    <n v="1218"/>
    <n v="1049"/>
    <n v="4"/>
    <n v="553"/>
    <n v="661"/>
  </r>
  <r>
    <x v="0"/>
    <x v="1"/>
    <x v="0"/>
    <s v="POSTPAGO CONSULTAS"/>
    <x v="0"/>
    <x v="0"/>
    <n v="91892"/>
    <n v="88160"/>
    <n v="69807"/>
    <n v="6500"/>
    <n v="81660"/>
    <n v="0"/>
  </r>
  <r>
    <x v="0"/>
    <x v="1"/>
    <x v="5"/>
    <s v="POSTPAGO RECLAMOS AVERIAS"/>
    <x v="1"/>
    <x v="1"/>
    <n v="1223"/>
    <n v="1098"/>
    <n v="983"/>
    <n v="67"/>
    <n v="1031"/>
    <n v="0"/>
  </r>
  <r>
    <x v="0"/>
    <x v="0"/>
    <x v="0"/>
    <s v="Postpago Oro"/>
    <x v="0"/>
    <x v="0"/>
    <n v="84932"/>
    <n v="81071"/>
    <n v="68873"/>
    <n v="4107"/>
    <n v="76964"/>
    <n v="0"/>
  </r>
  <r>
    <x v="0"/>
    <x v="0"/>
    <x v="3"/>
    <s v="TDEP Postpago Platino Reclamos"/>
    <x v="0"/>
    <x v="0"/>
    <n v="192"/>
    <n v="115"/>
    <n v="43"/>
    <n v="4"/>
    <n v="111"/>
    <n v="0"/>
  </r>
  <r>
    <x v="0"/>
    <x v="1"/>
    <x v="0"/>
    <s v="POSTPAGO ORO RECLAMOS KONECTA"/>
    <x v="0"/>
    <x v="0"/>
    <n v="37684"/>
    <n v="36959"/>
    <n v="30474"/>
    <n v="127"/>
    <n v="16653"/>
    <n v="20179"/>
  </r>
  <r>
    <x v="0"/>
    <x v="1"/>
    <x v="6"/>
    <s v="POSTPAGO ORO TDE RECLAMOS KONECTA"/>
    <x v="0"/>
    <x v="0"/>
    <n v="63044"/>
    <n v="61089"/>
    <n v="50697"/>
    <n v="233"/>
    <n v="27117"/>
    <n v="33739"/>
  </r>
  <r>
    <x v="0"/>
    <x v="1"/>
    <x v="2"/>
    <s v="POSTPAGO PLATINO RECLAMOS"/>
    <x v="0"/>
    <x v="0"/>
    <n v="16230"/>
    <n v="15959"/>
    <n v="13106"/>
    <n v="66"/>
    <n v="7076"/>
    <n v="8817"/>
  </r>
  <r>
    <x v="0"/>
    <x v="1"/>
    <x v="3"/>
    <s v="RECLAMOS POSTPAGO DIAMANTE TDE"/>
    <x v="0"/>
    <x v="0"/>
    <n v="1070"/>
    <n v="1049"/>
    <n v="867"/>
    <n v="6"/>
    <n v="412"/>
    <n v="631"/>
  </r>
  <r>
    <x v="0"/>
    <x v="1"/>
    <x v="7"/>
    <s v="TFI"/>
    <x v="2"/>
    <x v="0"/>
    <n v="521"/>
    <n v="495"/>
    <n v="465"/>
    <n v="68"/>
    <n v="390"/>
    <n v="37"/>
  </r>
  <r>
    <x v="0"/>
    <x v="1"/>
    <x v="8"/>
    <s v="POSTPAGO EMPLEADO"/>
    <x v="0"/>
    <x v="0"/>
    <n v="6"/>
    <n v="2"/>
    <n v="2"/>
    <n v="0"/>
    <n v="0"/>
    <n v="2"/>
  </r>
  <r>
    <x v="0"/>
    <x v="1"/>
    <x v="9"/>
    <s v="HOGAR RECIBO"/>
    <x v="3"/>
    <x v="2"/>
    <n v="1876"/>
    <n v="1803"/>
    <n v="1669"/>
    <n v="204"/>
    <n v="1599"/>
    <n v="0"/>
  </r>
  <r>
    <x v="0"/>
    <x v="1"/>
    <x v="9"/>
    <s v="HOGAR INTERNET"/>
    <x v="3"/>
    <x v="2"/>
    <n v="475"/>
    <n v="451"/>
    <n v="420"/>
    <n v="45"/>
    <n v="406"/>
    <n v="0"/>
  </r>
  <r>
    <x v="0"/>
    <x v="1"/>
    <x v="10"/>
    <s v="HOGAR AVERIAS"/>
    <x v="3"/>
    <x v="2"/>
    <n v="5"/>
    <n v="4"/>
    <n v="4"/>
    <n v="0"/>
    <n v="4"/>
    <n v="0"/>
  </r>
  <r>
    <x v="0"/>
    <x v="0"/>
    <x v="11"/>
    <s v="Perfilado LLAA"/>
    <x v="0"/>
    <x v="0"/>
    <n v="80"/>
    <n v="10"/>
    <n v="7"/>
    <n v="0"/>
    <n v="10"/>
    <n v="0"/>
  </r>
  <r>
    <x v="0"/>
    <x v="0"/>
    <x v="6"/>
    <s v="TDEP Entel Peru Postpago Oro"/>
    <x v="0"/>
    <x v="0"/>
    <n v="2173"/>
    <n v="1050"/>
    <n v="485"/>
    <n v="48"/>
    <n v="1002"/>
    <n v="0"/>
  </r>
  <r>
    <x v="0"/>
    <x v="0"/>
    <x v="2"/>
    <s v="POSTPAGO PLATINO RECLAMOS"/>
    <x v="0"/>
    <x v="0"/>
    <n v="548"/>
    <n v="290"/>
    <n v="132"/>
    <n v="13"/>
    <n v="277"/>
    <n v="0"/>
  </r>
  <r>
    <x v="0"/>
    <x v="0"/>
    <x v="3"/>
    <s v="TDEP Postpago Diamante Reclamos"/>
    <x v="0"/>
    <x v="0"/>
    <n v="83"/>
    <n v="36"/>
    <n v="15"/>
    <n v="2"/>
    <n v="34"/>
    <n v="0"/>
  </r>
  <r>
    <x v="0"/>
    <x v="1"/>
    <x v="6"/>
    <s v="POSTPAGO ORO TDE KONECTA"/>
    <x v="0"/>
    <x v="0"/>
    <n v="69743"/>
    <n v="68206"/>
    <n v="58019"/>
    <n v="222"/>
    <n v="29712"/>
    <n v="38272"/>
  </r>
  <r>
    <x v="0"/>
    <x v="1"/>
    <x v="12"/>
    <s v="PREPAGO ORO TDE KONECTA"/>
    <x v="4"/>
    <x v="0"/>
    <n v="65246"/>
    <n v="61182"/>
    <n v="48759"/>
    <n v="95"/>
    <n v="21873"/>
    <n v="39214"/>
  </r>
  <r>
    <x v="0"/>
    <x v="1"/>
    <x v="13"/>
    <s v="PREPAGO PLATINO TDE KONECTA"/>
    <x v="4"/>
    <x v="0"/>
    <n v="8584"/>
    <n v="8215"/>
    <n v="6652"/>
    <n v="23"/>
    <n v="3142"/>
    <n v="5050"/>
  </r>
  <r>
    <x v="0"/>
    <x v="1"/>
    <x v="12"/>
    <s v="PREPAGO RECLAMOS 102 KONECTA"/>
    <x v="1"/>
    <x v="1"/>
    <n v="1339"/>
    <n v="1243"/>
    <n v="1046"/>
    <n v="0"/>
    <n v="0"/>
    <n v="1243"/>
  </r>
  <r>
    <x v="0"/>
    <x v="1"/>
    <x v="2"/>
    <s v="Postpago Diamante Reclamos"/>
    <x v="0"/>
    <x v="0"/>
    <n v="5182"/>
    <n v="5098"/>
    <n v="4144"/>
    <n v="17"/>
    <n v="2240"/>
    <n v="2841"/>
  </r>
  <r>
    <x v="0"/>
    <x v="1"/>
    <x v="0"/>
    <s v="Postpago Oro"/>
    <x v="0"/>
    <x v="0"/>
    <n v="90135"/>
    <n v="87209"/>
    <n v="74128"/>
    <n v="5356"/>
    <n v="78886"/>
    <n v="2967"/>
  </r>
  <r>
    <x v="0"/>
    <x v="1"/>
    <x v="12"/>
    <s v="PREPAGO ORO"/>
    <x v="4"/>
    <x v="0"/>
    <n v="3"/>
    <n v="3"/>
    <n v="3"/>
    <n v="0"/>
    <n v="3"/>
    <n v="0"/>
  </r>
  <r>
    <x v="0"/>
    <x v="0"/>
    <x v="9"/>
    <s v="HOGAR RECIBO"/>
    <x v="3"/>
    <x v="2"/>
    <n v="1192"/>
    <n v="1153"/>
    <n v="1101"/>
    <n v="28"/>
    <n v="1125"/>
    <n v="0"/>
  </r>
  <r>
    <x v="0"/>
    <x v="1"/>
    <x v="14"/>
    <s v="PREPAGO AVERIAS"/>
    <x v="5"/>
    <x v="1"/>
    <n v="982"/>
    <n v="933"/>
    <n v="887"/>
    <n v="71"/>
    <n v="862"/>
    <n v="0"/>
  </r>
  <r>
    <x v="0"/>
    <x v="1"/>
    <x v="9"/>
    <s v="HOGAR CONSULTAS"/>
    <x v="3"/>
    <x v="2"/>
    <n v="5429"/>
    <n v="5218"/>
    <n v="4851"/>
    <n v="734"/>
    <n v="4484"/>
    <n v="0"/>
  </r>
  <r>
    <x v="0"/>
    <x v="0"/>
    <x v="0"/>
    <s v="POSTPAGO PERSONAS"/>
    <x v="0"/>
    <x v="0"/>
    <n v="70374"/>
    <n v="67497"/>
    <n v="59228"/>
    <n v="4081"/>
    <n v="63416"/>
    <n v="0"/>
  </r>
  <r>
    <x v="0"/>
    <x v="0"/>
    <x v="9"/>
    <s v="Hogar Consultas"/>
    <x v="3"/>
    <x v="2"/>
    <n v="3719"/>
    <n v="3597"/>
    <n v="3398"/>
    <n v="132"/>
    <n v="3465"/>
    <n v="0"/>
  </r>
  <r>
    <x v="0"/>
    <x v="0"/>
    <x v="9"/>
    <s v="Internet Reclamos Personas"/>
    <x v="3"/>
    <x v="2"/>
    <n v="30"/>
    <n v="0"/>
    <n v="0"/>
    <n v="0"/>
    <n v="0"/>
    <n v="0"/>
  </r>
  <r>
    <x v="0"/>
    <x v="0"/>
    <x v="8"/>
    <s v="Empleados Entel"/>
    <x v="0"/>
    <x v="0"/>
    <n v="1"/>
    <n v="0"/>
    <n v="0"/>
    <n v="0"/>
    <n v="0"/>
    <n v="0"/>
  </r>
  <r>
    <x v="0"/>
    <x v="1"/>
    <x v="12"/>
    <s v="PREPAGO CONSULTAS"/>
    <x v="4"/>
    <x v="0"/>
    <n v="76130"/>
    <n v="74646"/>
    <n v="68544"/>
    <n v="5794"/>
    <n v="68852"/>
    <n v="0"/>
  </r>
  <r>
    <x v="0"/>
    <x v="0"/>
    <x v="15"/>
    <s v="Internet TDE"/>
    <x v="3"/>
    <x v="2"/>
    <n v="15"/>
    <n v="2"/>
    <n v="1"/>
    <n v="0"/>
    <n v="2"/>
    <n v="0"/>
  </r>
  <r>
    <x v="0"/>
    <x v="1"/>
    <x v="16"/>
    <s v="TFI"/>
    <x v="2"/>
    <x v="0"/>
    <n v="305"/>
    <n v="285"/>
    <n v="263"/>
    <n v="0"/>
    <n v="136"/>
    <n v="149"/>
  </r>
  <r>
    <x v="0"/>
    <x v="1"/>
    <x v="13"/>
    <s v="PREPAGO PLATINO"/>
    <x v="4"/>
    <x v="0"/>
    <n v="2"/>
    <n v="2"/>
    <n v="2"/>
    <n v="0"/>
    <n v="1"/>
    <n v="1"/>
  </r>
  <r>
    <x v="0"/>
    <x v="1"/>
    <x v="17"/>
    <s v="BLOQUEOS PREPAGO"/>
    <x v="6"/>
    <x v="0"/>
    <n v="10997"/>
    <n v="10551"/>
    <n v="8986"/>
    <n v="381"/>
    <n v="10170"/>
    <n v="0"/>
  </r>
  <r>
    <x v="0"/>
    <x v="0"/>
    <x v="18"/>
    <s v="Hogar Fibra Pedido"/>
    <x v="3"/>
    <x v="2"/>
    <n v="72"/>
    <n v="67"/>
    <n v="64"/>
    <n v="0"/>
    <n v="67"/>
    <n v="0"/>
  </r>
  <r>
    <x v="0"/>
    <x v="0"/>
    <x v="3"/>
    <s v="TDEP Postpago Diamante"/>
    <x v="0"/>
    <x v="0"/>
    <n v="66"/>
    <n v="37"/>
    <n v="27"/>
    <n v="0"/>
    <n v="37"/>
    <n v="0"/>
  </r>
  <r>
    <x v="0"/>
    <x v="0"/>
    <x v="7"/>
    <s v="Entel Perú Fijo Móvil"/>
    <x v="2"/>
    <x v="0"/>
    <n v="2"/>
    <n v="0"/>
    <n v="0"/>
    <n v="0"/>
    <n v="0"/>
    <n v="0"/>
  </r>
  <r>
    <x v="0"/>
    <x v="0"/>
    <x v="19"/>
    <s v="Entel Peru Postpago Elite Reclamos"/>
    <x v="0"/>
    <x v="0"/>
    <n v="1"/>
    <n v="0"/>
    <n v="0"/>
    <n v="0"/>
    <n v="0"/>
    <n v="0"/>
  </r>
  <r>
    <x v="0"/>
    <x v="0"/>
    <x v="2"/>
    <s v="Entel Peru Postpago Platino"/>
    <x v="0"/>
    <x v="0"/>
    <n v="1"/>
    <n v="1"/>
    <n v="1"/>
    <n v="0"/>
    <n v="1"/>
    <n v="0"/>
  </r>
  <r>
    <x v="0"/>
    <x v="1"/>
    <x v="13"/>
    <s v="PREPAGO PLATINO KONECTA"/>
    <x v="4"/>
    <x v="0"/>
    <n v="5274"/>
    <n v="4231"/>
    <n v="3036"/>
    <n v="50"/>
    <n v="1333"/>
    <n v="2848"/>
  </r>
  <r>
    <x v="0"/>
    <x v="1"/>
    <x v="12"/>
    <s v="PREPAGO ORO KONECTA"/>
    <x v="4"/>
    <x v="0"/>
    <n v="3308"/>
    <n v="2750"/>
    <n v="1853"/>
    <n v="29"/>
    <n v="825"/>
    <n v="1896"/>
  </r>
  <r>
    <x v="0"/>
    <x v="1"/>
    <x v="11"/>
    <s v="PERFILADO LLAA"/>
    <x v="0"/>
    <x v="0"/>
    <n v="6230"/>
    <n v="5915"/>
    <n v="4635"/>
    <n v="23"/>
    <n v="2907"/>
    <n v="2985"/>
  </r>
  <r>
    <x v="0"/>
    <x v="1"/>
    <x v="2"/>
    <s v="POSTPAGO DIAMANTE"/>
    <x v="0"/>
    <x v="0"/>
    <n v="11189"/>
    <n v="10825"/>
    <n v="9155"/>
    <n v="819"/>
    <n v="10006"/>
    <n v="0"/>
  </r>
  <r>
    <x v="0"/>
    <x v="1"/>
    <x v="2"/>
    <s v="POSTPAGO PLATINO"/>
    <x v="0"/>
    <x v="0"/>
    <n v="32121"/>
    <n v="31161"/>
    <n v="26441"/>
    <n v="2118"/>
    <n v="29043"/>
    <n v="0"/>
  </r>
  <r>
    <x v="0"/>
    <x v="0"/>
    <x v="6"/>
    <s v="TDEP Entel Peru Postpago Oro Reclamos"/>
    <x v="0"/>
    <x v="0"/>
    <n v="4373"/>
    <n v="2383"/>
    <n v="1064"/>
    <n v="126"/>
    <n v="2257"/>
    <n v="0"/>
  </r>
  <r>
    <x v="0"/>
    <x v="0"/>
    <x v="20"/>
    <s v="Lineas Adicionales"/>
    <x v="0"/>
    <x v="0"/>
    <n v="4"/>
    <n v="0"/>
    <n v="0"/>
    <n v="0"/>
    <n v="0"/>
    <n v="0"/>
  </r>
  <r>
    <x v="0"/>
    <x v="1"/>
    <x v="9"/>
    <s v="INTERNET PERSONAS"/>
    <x v="3"/>
    <x v="2"/>
    <n v="9150"/>
    <n v="8771"/>
    <n v="7758"/>
    <n v="16"/>
    <n v="3782"/>
    <n v="4973"/>
  </r>
  <r>
    <x v="0"/>
    <x v="1"/>
    <x v="21"/>
    <s v="POSTPAGO RETENCIÓN MÓVIL"/>
    <x v="0"/>
    <x v="0"/>
    <n v="10977"/>
    <n v="10594"/>
    <n v="9199"/>
    <n v="0"/>
    <n v="0"/>
    <n v="10594"/>
  </r>
  <r>
    <x v="0"/>
    <x v="1"/>
    <x v="3"/>
    <s v="POSTPAGO PLATINO TDE"/>
    <x v="0"/>
    <x v="0"/>
    <n v="4167"/>
    <n v="4100"/>
    <n v="3472"/>
    <n v="11"/>
    <n v="1828"/>
    <n v="2261"/>
  </r>
  <r>
    <x v="0"/>
    <x v="1"/>
    <x v="6"/>
    <s v="POSTPAGO DEFAULT TDE"/>
    <x v="0"/>
    <x v="0"/>
    <n v="646"/>
    <n v="618"/>
    <n v="584"/>
    <n v="4"/>
    <n v="389"/>
    <n v="225"/>
  </r>
  <r>
    <x v="0"/>
    <x v="1"/>
    <x v="0"/>
    <s v="POSTPAGO PLATA LEGADOS"/>
    <x v="0"/>
    <x v="0"/>
    <n v="83"/>
    <n v="39"/>
    <n v="31"/>
    <n v="0"/>
    <n v="27"/>
    <n v="12"/>
  </r>
  <r>
    <x v="0"/>
    <x v="1"/>
    <x v="22"/>
    <s v="HOGAR FIBRA PROBLEMAS"/>
    <x v="3"/>
    <x v="2"/>
    <n v="1029"/>
    <n v="984"/>
    <n v="903"/>
    <n v="125"/>
    <n v="859"/>
    <n v="0"/>
  </r>
  <r>
    <x v="0"/>
    <x v="0"/>
    <x v="23"/>
    <s v="Hogar Internet"/>
    <x v="3"/>
    <x v="2"/>
    <n v="270"/>
    <n v="258"/>
    <n v="248"/>
    <n v="6"/>
    <n v="252"/>
    <n v="0"/>
  </r>
  <r>
    <x v="0"/>
    <x v="0"/>
    <x v="10"/>
    <s v="Hogar Averias"/>
    <x v="3"/>
    <x v="2"/>
    <n v="6"/>
    <n v="3"/>
    <n v="3"/>
    <n v="0"/>
    <n v="3"/>
    <n v="0"/>
  </r>
  <r>
    <x v="0"/>
    <x v="0"/>
    <x v="2"/>
    <s v="Postpago Diamante"/>
    <x v="0"/>
    <x v="0"/>
    <n v="11128"/>
    <n v="10621"/>
    <n v="8845"/>
    <n v="628"/>
    <n v="9993"/>
    <n v="0"/>
  </r>
  <r>
    <x v="0"/>
    <x v="0"/>
    <x v="4"/>
    <s v="Postpago Elite"/>
    <x v="0"/>
    <x v="0"/>
    <n v="6"/>
    <n v="0"/>
    <n v="0"/>
    <n v="0"/>
    <n v="0"/>
    <n v="0"/>
  </r>
  <r>
    <x v="0"/>
    <x v="0"/>
    <x v="24"/>
    <s v="Directorio 103 Empresas"/>
    <x v="7"/>
    <x v="3"/>
    <n v="4"/>
    <n v="0"/>
    <n v="0"/>
    <n v="0"/>
    <n v="0"/>
    <n v="0"/>
  </r>
  <r>
    <x v="0"/>
    <x v="1"/>
    <x v="1"/>
    <s v="POSTPAGO RENOVACION IVR"/>
    <x v="0"/>
    <x v="0"/>
    <n v="23414"/>
    <n v="22100"/>
    <n v="18799"/>
    <n v="872"/>
    <n v="11050"/>
    <n v="10178"/>
  </r>
  <r>
    <x v="0"/>
    <x v="1"/>
    <x v="9"/>
    <s v="INTERNET PERSONAS RECLAMOS"/>
    <x v="3"/>
    <x v="2"/>
    <n v="7220"/>
    <n v="6980"/>
    <n v="6222"/>
    <n v="24"/>
    <n v="3270"/>
    <n v="3686"/>
  </r>
  <r>
    <x v="0"/>
    <x v="1"/>
    <x v="21"/>
    <s v="RETENCIONES"/>
    <x v="0"/>
    <x v="0"/>
    <n v="1719"/>
    <n v="1710"/>
    <n v="1658"/>
    <n v="279"/>
    <n v="1431"/>
    <n v="0"/>
  </r>
  <r>
    <x v="0"/>
    <x v="1"/>
    <x v="25"/>
    <s v="HOGAR FIBRA RECLAMOS"/>
    <x v="3"/>
    <x v="2"/>
    <n v="1190"/>
    <n v="1138"/>
    <n v="1040"/>
    <n v="130"/>
    <n v="1008"/>
    <n v="0"/>
  </r>
  <r>
    <x v="0"/>
    <x v="0"/>
    <x v="22"/>
    <s v="Hogar Fibra"/>
    <x v="3"/>
    <x v="2"/>
    <n v="588"/>
    <n v="574"/>
    <n v="551"/>
    <n v="18"/>
    <n v="556"/>
    <n v="0"/>
  </r>
  <r>
    <x v="0"/>
    <x v="0"/>
    <x v="7"/>
    <s v="TFI"/>
    <x v="2"/>
    <x v="0"/>
    <n v="227"/>
    <n v="213"/>
    <n v="206"/>
    <n v="2"/>
    <n v="211"/>
    <n v="0"/>
  </r>
  <r>
    <x v="0"/>
    <x v="0"/>
    <x v="5"/>
    <s v="Postpago Reclamos Averias"/>
    <x v="1"/>
    <x v="1"/>
    <n v="946"/>
    <n v="854"/>
    <n v="779"/>
    <n v="34"/>
    <n v="820"/>
    <n v="0"/>
  </r>
  <r>
    <x v="0"/>
    <x v="0"/>
    <x v="25"/>
    <s v="Hogar Fibra Problemas"/>
    <x v="3"/>
    <x v="2"/>
    <n v="730"/>
    <n v="707"/>
    <n v="672"/>
    <n v="21"/>
    <n v="686"/>
    <n v="0"/>
  </r>
  <r>
    <x v="0"/>
    <x v="0"/>
    <x v="9"/>
    <s v="Internet Personas"/>
    <x v="3"/>
    <x v="2"/>
    <n v="53"/>
    <n v="0"/>
    <n v="0"/>
    <n v="0"/>
    <n v="0"/>
    <n v="0"/>
  </r>
  <r>
    <x v="0"/>
    <x v="0"/>
    <x v="26"/>
    <s v="Postpago Empleado"/>
    <x v="0"/>
    <x v="0"/>
    <n v="1"/>
    <n v="0"/>
    <n v="0"/>
    <n v="0"/>
    <n v="0"/>
    <n v="0"/>
  </r>
  <r>
    <x v="0"/>
    <x v="1"/>
    <x v="3"/>
    <s v="RECLAMOS POSTPAGO PLATINO TDE"/>
    <x v="0"/>
    <x v="0"/>
    <n v="3858"/>
    <n v="3765"/>
    <n v="3126"/>
    <n v="11"/>
    <n v="1560"/>
    <n v="2194"/>
  </r>
  <r>
    <x v="0"/>
    <x v="1"/>
    <x v="27"/>
    <s v="BLOQUEOS PERSONAS"/>
    <x v="6"/>
    <x v="0"/>
    <n v="22671"/>
    <n v="21218"/>
    <n v="17021"/>
    <n v="37"/>
    <n v="10684"/>
    <n v="10497"/>
  </r>
  <r>
    <x v="0"/>
    <x v="1"/>
    <x v="0"/>
    <s v="POSTPAGO ORO KONECTA"/>
    <x v="0"/>
    <x v="0"/>
    <n v="13554"/>
    <n v="13463"/>
    <n v="11072"/>
    <n v="8"/>
    <n v="1492"/>
    <n v="11963"/>
  </r>
  <r>
    <x v="0"/>
    <x v="1"/>
    <x v="23"/>
    <s v="HOGAR"/>
    <x v="3"/>
    <x v="2"/>
    <n v="6539"/>
    <n v="6075"/>
    <n v="5805"/>
    <n v="10"/>
    <n v="1483"/>
    <n v="4582"/>
  </r>
  <r>
    <x v="0"/>
    <x v="0"/>
    <x v="28"/>
    <s v="POSTPAGO"/>
    <x v="0"/>
    <x v="0"/>
    <n v="330"/>
    <n v="200"/>
    <n v="135"/>
    <n v="25"/>
    <n v="175"/>
    <n v="0"/>
  </r>
  <r>
    <x v="0"/>
    <x v="1"/>
    <x v="29"/>
    <s v="POSTPAGO PREVENCION"/>
    <x v="0"/>
    <x v="0"/>
    <n v="3684"/>
    <n v="3473"/>
    <n v="2335"/>
    <n v="0"/>
    <n v="0"/>
    <n v="3473"/>
  </r>
  <r>
    <x v="0"/>
    <x v="1"/>
    <x v="30"/>
    <s v="DIRECTORIO"/>
    <x v="7"/>
    <x v="3"/>
    <n v="24496"/>
    <n v="23090"/>
    <n v="22438"/>
    <n v="553"/>
    <n v="22537"/>
    <n v="0"/>
  </r>
  <r>
    <x v="0"/>
    <x v="1"/>
    <x v="13"/>
    <s v="PREPAGO PLATINO TDE SCCP"/>
    <x v="4"/>
    <x v="0"/>
    <n v="10"/>
    <n v="9"/>
    <n v="9"/>
    <n v="0"/>
    <n v="0"/>
    <n v="9"/>
  </r>
  <r>
    <x v="0"/>
    <x v="1"/>
    <x v="31"/>
    <s v="POSTPAGO RECLAMOS OTROS"/>
    <x v="0"/>
    <x v="0"/>
    <n v="4004"/>
    <n v="3725"/>
    <n v="3166"/>
    <n v="233"/>
    <n v="3492"/>
    <n v="0"/>
  </r>
  <r>
    <x v="0"/>
    <x v="1"/>
    <x v="32"/>
    <s v="BLOQUEOS POSTPAGO"/>
    <x v="6"/>
    <x v="0"/>
    <n v="26764"/>
    <n v="25752"/>
    <n v="21846"/>
    <n v="814"/>
    <n v="24938"/>
    <n v="0"/>
  </r>
  <r>
    <x v="0"/>
    <x v="1"/>
    <x v="18"/>
    <s v="HOGAR FIBRA PEDIDO"/>
    <x v="3"/>
    <x v="2"/>
    <n v="221"/>
    <n v="211"/>
    <n v="197"/>
    <n v="16"/>
    <n v="195"/>
    <n v="0"/>
  </r>
  <r>
    <x v="0"/>
    <x v="0"/>
    <x v="2"/>
    <s v="Postpago Platino"/>
    <x v="0"/>
    <x v="0"/>
    <n v="31972"/>
    <n v="30609"/>
    <n v="25830"/>
    <n v="1795"/>
    <n v="28814"/>
    <n v="0"/>
  </r>
  <r>
    <x v="0"/>
    <x v="0"/>
    <x v="31"/>
    <s v="Postpago Reclamos Otros"/>
    <x v="0"/>
    <x v="0"/>
    <n v="3157"/>
    <n v="2959"/>
    <n v="2612"/>
    <n v="141"/>
    <n v="281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474D861-D283-4B37-8816-4E1C79517131}" name="TablaDinámica6" cacheId="273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B2:D7" firstHeaderRow="0" firstDataRow="1" firstDataCol="1"/>
  <pivotFields count="12">
    <pivotField showAll="0"/>
    <pivotField showAll="0"/>
    <pivotField showAll="0"/>
    <pivotField showAll="0"/>
    <pivotField showAll="0"/>
    <pivotField axis="axisRow" showAll="0">
      <items count="5">
        <item x="1"/>
        <item x="3"/>
        <item x="0"/>
        <item x="2"/>
        <item t="default"/>
      </items>
    </pivotField>
    <pivotField showAll="0"/>
    <pivotField dataField="1" showAll="0"/>
    <pivotField dataField="1" showAll="0"/>
    <pivotField showAll="0"/>
    <pivotField showAll="0"/>
    <pivotField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Llamadas Atendidas" fld="7" baseField="3" baseItem="0" numFmtId="3"/>
    <dataField name="Llamadas Atendidas &lt; 20 Seg" fld="8" baseField="3" baseItem="0" numFmtId="3"/>
  </dataFields>
  <formats count="2"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B824775-AF6A-4155-BEB6-0A34BE25CE33}" name="TablaDinámica31" cacheId="273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H29:K33" firstHeaderRow="0" firstDataRow="1" firstDataCol="1"/>
  <pivotFields count="12">
    <pivotField showAll="0"/>
    <pivotField showAll="0"/>
    <pivotField showAll="0"/>
    <pivotField showAll="0"/>
    <pivotField showAll="0"/>
    <pivotField axis="axisRow" showAll="0" sortType="descending">
      <items count="5">
        <item x="1"/>
        <item x="3"/>
        <item x="0"/>
        <item h="1"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dataField="1" showAll="0"/>
    <pivotField dataField="1" showAll="0"/>
    <pivotField showAll="0"/>
    <pivotField showAll="0"/>
    <pivotField showAll="0"/>
  </pivotFields>
  <rowFields count="1">
    <field x="5"/>
  </rowFields>
  <rowItems count="4">
    <i>
      <x v="2"/>
    </i>
    <i>
      <x v="1"/>
    </i>
    <i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RECIBIDAS" fld="6" baseField="0" baseItem="0"/>
    <dataField name="Llamadas Atendidas" fld="7" baseField="3" baseItem="0" numFmtId="3"/>
    <dataField name="Llamadas Atendidas &lt; 20 Seg" fld="8" baseField="3" baseItem="0" numFmtId="3"/>
  </dataFields>
  <formats count="2">
    <format dxfId="3">
      <pivotArea outline="0" collapsedLevelsAreSubtotals="1" fieldPosition="0"/>
    </format>
    <format dxfId="2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BB63BFA-C5ED-4F93-BD5D-009C5CE269D4}" name="TablaDinámica3" cacheId="273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B29:E57" firstHeaderRow="1" firstDataRow="2" firstDataCol="1" rowPageCount="1" colPageCount="1"/>
  <pivotFields count="12">
    <pivotField showAll="0"/>
    <pivotField axis="axisCol" showAll="0">
      <items count="4">
        <item x="1"/>
        <item x="0"/>
        <item m="1" x="2"/>
        <item t="default"/>
      </items>
    </pivotField>
    <pivotField axis="axisRow" showAll="0" sortType="descending">
      <items count="42">
        <item x="27"/>
        <item x="19"/>
        <item x="24"/>
        <item x="30"/>
        <item x="9"/>
        <item x="15"/>
        <item m="1" x="36"/>
        <item x="0"/>
        <item x="6"/>
        <item x="2"/>
        <item x="3"/>
        <item x="12"/>
        <item x="13"/>
        <item x="7"/>
        <item x="16"/>
        <item x="20"/>
        <item m="1" x="39"/>
        <item m="1" x="37"/>
        <item m="1" x="38"/>
        <item m="1" x="33"/>
        <item m="1" x="34"/>
        <item m="1" x="35"/>
        <item m="1" x="40"/>
        <item x="1"/>
        <item x="29"/>
        <item x="4"/>
        <item x="11"/>
        <item x="8"/>
        <item x="10"/>
        <item x="14"/>
        <item x="17"/>
        <item x="18"/>
        <item x="21"/>
        <item x="22"/>
        <item x="25"/>
        <item x="26"/>
        <item x="28"/>
        <item x="32"/>
        <item x="5"/>
        <item x="31"/>
        <item x="2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axis="axisPage" multipleItemSelectionAllowed="1" showAll="0">
      <items count="5">
        <item x="1"/>
        <item x="3"/>
        <item x="0"/>
        <item h="1" x="2"/>
        <item t="default"/>
      </items>
    </pivotField>
    <pivotField showAll="0"/>
    <pivotField dataField="1" showAll="0"/>
    <pivotField showAll="0"/>
    <pivotField showAll="0"/>
    <pivotField showAll="0"/>
    <pivotField showAll="0"/>
  </pivotFields>
  <rowFields count="1">
    <field x="2"/>
  </rowFields>
  <rowItems count="27">
    <i>
      <x v="7"/>
    </i>
    <i>
      <x v="11"/>
    </i>
    <i>
      <x v="8"/>
    </i>
    <i>
      <x v="9"/>
    </i>
    <i>
      <x v="23"/>
    </i>
    <i>
      <x v="37"/>
    </i>
    <i>
      <x v="3"/>
    </i>
    <i>
      <x/>
    </i>
    <i>
      <x v="12"/>
    </i>
    <i>
      <x v="32"/>
    </i>
    <i>
      <x v="30"/>
    </i>
    <i>
      <x v="10"/>
    </i>
    <i>
      <x v="39"/>
    </i>
    <i>
      <x v="25"/>
    </i>
    <i>
      <x v="26"/>
    </i>
    <i>
      <x v="24"/>
    </i>
    <i>
      <x v="38"/>
    </i>
    <i>
      <x v="29"/>
    </i>
    <i>
      <x v="13"/>
    </i>
    <i>
      <x v="14"/>
    </i>
    <i>
      <x v="36"/>
    </i>
    <i>
      <x v="27"/>
    </i>
    <i>
      <x v="2"/>
    </i>
    <i>
      <x v="1"/>
    </i>
    <i>
      <x v="35"/>
    </i>
    <i>
      <x v="15"/>
    </i>
    <i t="grand">
      <x/>
    </i>
  </rowItems>
  <colFields count="1">
    <field x="1"/>
  </colFields>
  <colItems count="3">
    <i>
      <x/>
    </i>
    <i>
      <x v="1"/>
    </i>
    <i t="grand">
      <x/>
    </i>
  </colItems>
  <pageFields count="1">
    <pageField fld="5" hier="-1"/>
  </pageFields>
  <dataFields count="1">
    <dataField name="Llamadas Atendidas" fld="7" baseField="3" baseItem="0" numFmtId="3"/>
  </dataFields>
  <formats count="20">
    <format dxfId="23">
      <pivotArea type="all" dataOnly="0" outline="0" fieldPosition="0"/>
    </format>
    <format dxfId="22">
      <pivotArea outline="0" collapsedLevelsAreSubtotals="1" fieldPosition="0"/>
    </format>
    <format dxfId="21">
      <pivotArea type="origin" dataOnly="0" labelOnly="1" outline="0" fieldPosition="0"/>
    </format>
    <format dxfId="20">
      <pivotArea field="1" type="button" dataOnly="0" labelOnly="1" outline="0" axis="axisCol" fieldPosition="0"/>
    </format>
    <format dxfId="19">
      <pivotArea type="topRight" dataOnly="0" labelOnly="1" outline="0" fieldPosition="0"/>
    </format>
    <format dxfId="18">
      <pivotArea field="2" type="button" dataOnly="0" labelOnly="1" outline="0" axis="axisRow" fieldPosition="0"/>
    </format>
    <format dxfId="17">
      <pivotArea dataOnly="0" labelOnly="1" fieldPosition="0">
        <references count="1">
          <reference field="2" count="24">
            <x v="0"/>
            <x v="1"/>
            <x v="2"/>
            <x v="3"/>
            <x v="7"/>
            <x v="8"/>
            <x v="9"/>
            <x v="10"/>
            <x v="11"/>
            <x v="12"/>
            <x v="13"/>
            <x v="14"/>
            <x v="15"/>
            <x v="23"/>
            <x v="24"/>
            <x v="25"/>
            <x v="26"/>
            <x v="27"/>
            <x v="29"/>
            <x v="30"/>
            <x v="32"/>
            <x v="35"/>
            <x v="36"/>
            <x v="37"/>
          </reference>
        </references>
      </pivotArea>
    </format>
    <format dxfId="16">
      <pivotArea dataOnly="0" labelOnly="1" grandRow="1" outline="0" fieldPosition="0"/>
    </format>
    <format dxfId="15">
      <pivotArea dataOnly="0" labelOnly="1" fieldPosition="0">
        <references count="1">
          <reference field="1" count="0"/>
        </references>
      </pivotArea>
    </format>
    <format dxfId="14">
      <pivotArea dataOnly="0" labelOnly="1" grandCol="1" outline="0" fieldPosition="0"/>
    </format>
    <format dxfId="13">
      <pivotArea type="all" dataOnly="0" outline="0" fieldPosition="0"/>
    </format>
    <format dxfId="12">
      <pivotArea outline="0" collapsedLevelsAreSubtotals="1" fieldPosition="0"/>
    </format>
    <format dxfId="11">
      <pivotArea type="origin" dataOnly="0" labelOnly="1" outline="0" fieldPosition="0"/>
    </format>
    <format dxfId="10">
      <pivotArea field="1" type="button" dataOnly="0" labelOnly="1" outline="0" axis="axisCol" fieldPosition="0"/>
    </format>
    <format dxfId="9">
      <pivotArea type="topRight" dataOnly="0" labelOnly="1" outline="0" fieldPosition="0"/>
    </format>
    <format dxfId="8">
      <pivotArea field="2" type="button" dataOnly="0" labelOnly="1" outline="0" axis="axisRow" fieldPosition="0"/>
    </format>
    <format dxfId="7">
      <pivotArea dataOnly="0" labelOnly="1" fieldPosition="0">
        <references count="1">
          <reference field="2" count="24">
            <x v="0"/>
            <x v="1"/>
            <x v="2"/>
            <x v="3"/>
            <x v="7"/>
            <x v="8"/>
            <x v="9"/>
            <x v="10"/>
            <x v="11"/>
            <x v="12"/>
            <x v="13"/>
            <x v="14"/>
            <x v="15"/>
            <x v="23"/>
            <x v="24"/>
            <x v="25"/>
            <x v="26"/>
            <x v="27"/>
            <x v="29"/>
            <x v="30"/>
            <x v="32"/>
            <x v="35"/>
            <x v="36"/>
            <x v="37"/>
          </reference>
        </references>
      </pivotArea>
    </format>
    <format dxfId="6">
      <pivotArea dataOnly="0" labelOnly="1" grandRow="1" outline="0" fieldPosition="0"/>
    </format>
    <format dxfId="5">
      <pivotArea dataOnly="0" labelOnly="1" fieldPosition="0">
        <references count="1">
          <reference field="1" count="0"/>
        </references>
      </pivotArea>
    </format>
    <format dxfId="4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19B5E5-1B40-4FA8-86C0-B63B3504B958}" name="TablaDinámica1" cacheId="273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B19:E25" firstHeaderRow="1" firstDataRow="2" firstDataCol="1"/>
  <pivotFields count="12">
    <pivotField showAll="0"/>
    <pivotField axis="axisCol" showAll="0">
      <items count="4">
        <item x="1"/>
        <item x="0"/>
        <item m="1" x="2"/>
        <item t="default"/>
      </items>
    </pivotField>
    <pivotField showAll="0"/>
    <pivotField showAll="0"/>
    <pivotField showAll="0"/>
    <pivotField axis="axisRow" showAll="0">
      <items count="5">
        <item x="1"/>
        <item x="3"/>
        <item x="0"/>
        <item x="2"/>
        <item t="default"/>
      </items>
    </pivotField>
    <pivotField showAll="0"/>
    <pivotField dataField="1" showAll="0"/>
    <pivotField showAll="0"/>
    <pivotField showAll="0"/>
    <pivotField showAll="0"/>
    <pivotField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Llamadas Atendidas" fld="7" baseField="3" baseItem="0" numFmtId="3"/>
  </dataFields>
  <formats count="4">
    <format dxfId="27">
      <pivotArea outline="0" collapsedLevelsAreSubtotals="1" fieldPosition="0"/>
    </format>
    <format dxfId="2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5">
      <pivotArea outline="0" collapsedLevelsAreSubtotals="1" fieldPosition="0">
        <references count="1">
          <reference field="1" count="0" selected="0"/>
        </references>
      </pivotArea>
    </format>
    <format dxfId="24">
      <pivotArea dataOnly="0" labelOnly="1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99044C-6DF5-40B6-A83C-1A245F3D3D22}" name="TablaDinámica7" cacheId="273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G2:J7" firstHeaderRow="0" firstDataRow="1" firstDataCol="1"/>
  <pivotFields count="12">
    <pivotField showAll="0"/>
    <pivotField showAll="0"/>
    <pivotField showAll="0"/>
    <pivotField showAll="0"/>
    <pivotField showAll="0"/>
    <pivotField axis="axisRow" showAll="0">
      <items count="5">
        <item x="1"/>
        <item x="3"/>
        <item x="0"/>
        <item x="2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orte Asesor " fld="9" baseField="4" baseItem="0" numFmtId="3"/>
    <dataField name="Corte Cliente " fld="10" baseField="4" baseItem="0" numFmtId="3"/>
    <dataField name="Corte No Identificado" fld="11" baseField="4" baseItem="0" numFmtId="3"/>
  </dataFields>
  <formats count="3">
    <format dxfId="30">
      <pivotArea outline="0" collapsedLevelsAreSubtotals="1" fieldPosition="0"/>
    </format>
    <format dxfId="2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8">
      <pivotArea collapsedLevelsAreSubtotals="1" fieldPosition="0">
        <references count="2">
          <reference field="4294967294" count="1" selected="0">
            <x v="1"/>
          </reference>
          <reference field="5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6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EC706-463E-495C-910E-3813BE33F98B}">
  <dimension ref="B2:E43"/>
  <sheetViews>
    <sheetView showGridLines="0" topLeftCell="A11" zoomScale="70" zoomScaleNormal="70" workbookViewId="0">
      <selection activeCell="F19" sqref="F19"/>
    </sheetView>
  </sheetViews>
  <sheetFormatPr baseColWidth="10" defaultColWidth="9.140625" defaultRowHeight="15" x14ac:dyDescent="0.25"/>
  <cols>
    <col min="1" max="1" width="5.7109375" style="8" customWidth="1"/>
    <col min="2" max="2" width="35.42578125" style="8" bestFit="1" customWidth="1"/>
    <col min="3" max="3" width="26.7109375" style="8" customWidth="1"/>
    <col min="4" max="4" width="25.5703125" style="8" customWidth="1"/>
    <col min="5" max="5" width="14.140625" style="8" customWidth="1"/>
    <col min="6" max="6" width="14.85546875" style="8" customWidth="1"/>
    <col min="7" max="7" width="28.7109375" style="8" bestFit="1" customWidth="1"/>
    <col min="8" max="9" width="9.140625" style="8"/>
    <col min="10" max="10" width="28.7109375" style="8" bestFit="1" customWidth="1"/>
    <col min="11" max="16384" width="9.140625" style="8"/>
  </cols>
  <sheetData>
    <row r="2" spans="2:5" x14ac:dyDescent="0.25">
      <c r="B2" s="52" t="s">
        <v>85</v>
      </c>
      <c r="C2" s="52"/>
      <c r="D2" s="52"/>
      <c r="E2" s="52"/>
    </row>
    <row r="3" spans="2:5" x14ac:dyDescent="0.25">
      <c r="B3" s="53" t="s">
        <v>86</v>
      </c>
      <c r="C3" s="53"/>
      <c r="D3" s="53"/>
      <c r="E3" s="53"/>
    </row>
    <row r="4" spans="2:5" x14ac:dyDescent="0.25">
      <c r="B4" s="52" t="s">
        <v>2</v>
      </c>
      <c r="C4" s="52"/>
      <c r="D4" s="52"/>
      <c r="E4" s="52"/>
    </row>
    <row r="5" spans="2:5" x14ac:dyDescent="0.25">
      <c r="B5" s="11"/>
      <c r="C5" s="11"/>
      <c r="D5" s="11"/>
      <c r="E5" s="11"/>
    </row>
    <row r="6" spans="2:5" x14ac:dyDescent="0.25">
      <c r="B6" s="8" t="s">
        <v>3</v>
      </c>
      <c r="C6" s="8" t="s">
        <v>4</v>
      </c>
    </row>
    <row r="7" spans="2:5" x14ac:dyDescent="0.25">
      <c r="B7" s="8" t="s">
        <v>5</v>
      </c>
      <c r="C7" s="54">
        <v>2022</v>
      </c>
    </row>
    <row r="8" spans="2:5" x14ac:dyDescent="0.25">
      <c r="B8" s="8" t="s">
        <v>6</v>
      </c>
      <c r="C8" t="s">
        <v>87</v>
      </c>
    </row>
    <row r="9" spans="2:5" x14ac:dyDescent="0.25">
      <c r="B9" s="8" t="s">
        <v>7</v>
      </c>
      <c r="C9" s="55" t="s">
        <v>88</v>
      </c>
      <c r="D9" s="55"/>
    </row>
    <row r="10" spans="2:5" x14ac:dyDescent="0.25">
      <c r="B10" s="8" t="s">
        <v>9</v>
      </c>
      <c r="C10" s="50" t="s">
        <v>89</v>
      </c>
      <c r="D10" s="50"/>
    </row>
    <row r="11" spans="2:5" x14ac:dyDescent="0.25">
      <c r="C11" s="50"/>
      <c r="D11" s="50"/>
    </row>
    <row r="13" spans="2:5" s="56" customFormat="1" ht="50.25" customHeight="1" x14ac:dyDescent="0.25">
      <c r="B13" s="18" t="s">
        <v>90</v>
      </c>
      <c r="C13" s="7" t="s">
        <v>91</v>
      </c>
      <c r="D13" s="7" t="s">
        <v>92</v>
      </c>
      <c r="E13" s="18" t="s">
        <v>93</v>
      </c>
    </row>
    <row r="14" spans="2:5" x14ac:dyDescent="0.25">
      <c r="B14" s="57" t="s">
        <v>94</v>
      </c>
      <c r="C14" s="58">
        <v>1.2310825843001503</v>
      </c>
      <c r="D14" s="59">
        <v>240</v>
      </c>
      <c r="E14" s="60">
        <f>C14/D14</f>
        <v>5.1295107679172926E-3</v>
      </c>
    </row>
    <row r="15" spans="2:5" x14ac:dyDescent="0.25">
      <c r="B15" s="57" t="s">
        <v>95</v>
      </c>
      <c r="C15" s="58">
        <v>1.2310825843001503</v>
      </c>
      <c r="D15" s="59">
        <v>240</v>
      </c>
      <c r="E15" s="60">
        <f t="shared" ref="E15:E39" si="0">C15/D15</f>
        <v>5.1295107679172926E-3</v>
      </c>
    </row>
    <row r="16" spans="2:5" x14ac:dyDescent="0.25">
      <c r="B16" s="57" t="s">
        <v>96</v>
      </c>
      <c r="C16" s="58">
        <v>1.2310825843001503</v>
      </c>
      <c r="D16" s="59">
        <v>288</v>
      </c>
      <c r="E16" s="60">
        <f t="shared" si="0"/>
        <v>4.2745923065977444E-3</v>
      </c>
    </row>
    <row r="17" spans="2:5" x14ac:dyDescent="0.25">
      <c r="B17" s="57" t="s">
        <v>97</v>
      </c>
      <c r="C17" s="58">
        <v>1.2310825843001503</v>
      </c>
      <c r="D17" s="59">
        <v>234</v>
      </c>
      <c r="E17" s="60">
        <f t="shared" si="0"/>
        <v>5.2610366850433772E-3</v>
      </c>
    </row>
    <row r="18" spans="2:5" x14ac:dyDescent="0.25">
      <c r="B18" s="57" t="s">
        <v>98</v>
      </c>
      <c r="C18" s="58">
        <v>1.2310825843001503</v>
      </c>
      <c r="D18" s="59">
        <v>240</v>
      </c>
      <c r="E18" s="60">
        <f t="shared" si="0"/>
        <v>5.1295107679172926E-3</v>
      </c>
    </row>
    <row r="19" spans="2:5" x14ac:dyDescent="0.25">
      <c r="B19" s="57" t="s">
        <v>99</v>
      </c>
      <c r="C19" s="58">
        <v>1.2310825843001503</v>
      </c>
      <c r="D19" s="59">
        <v>295</v>
      </c>
      <c r="E19" s="60">
        <f t="shared" si="0"/>
        <v>4.1731613027123741E-3</v>
      </c>
    </row>
    <row r="20" spans="2:5" x14ac:dyDescent="0.25">
      <c r="B20" s="57" t="s">
        <v>100</v>
      </c>
      <c r="C20" s="58">
        <v>1.2310825843001503</v>
      </c>
      <c r="D20" s="59">
        <v>284</v>
      </c>
      <c r="E20" s="60">
        <f t="shared" si="0"/>
        <v>4.3347978320427824E-3</v>
      </c>
    </row>
    <row r="21" spans="2:5" x14ac:dyDescent="0.25">
      <c r="B21" s="57" t="s">
        <v>101</v>
      </c>
      <c r="C21" s="58">
        <v>1.2310825843001503</v>
      </c>
      <c r="D21" s="59">
        <v>231</v>
      </c>
      <c r="E21" s="60">
        <f t="shared" si="0"/>
        <v>5.3293618367971874E-3</v>
      </c>
    </row>
    <row r="22" spans="2:5" x14ac:dyDescent="0.25">
      <c r="B22" s="57" t="s">
        <v>102</v>
      </c>
      <c r="C22" s="58">
        <v>1.2310825843001503</v>
      </c>
      <c r="D22" s="59">
        <v>267</v>
      </c>
      <c r="E22" s="60">
        <f t="shared" si="0"/>
        <v>4.610796195880713E-3</v>
      </c>
    </row>
    <row r="23" spans="2:5" x14ac:dyDescent="0.25">
      <c r="B23" s="57" t="s">
        <v>103</v>
      </c>
      <c r="C23" s="58">
        <v>1.2310825843001503</v>
      </c>
      <c r="D23" s="59">
        <v>356</v>
      </c>
      <c r="E23" s="60">
        <f t="shared" si="0"/>
        <v>3.4580971469105343E-3</v>
      </c>
    </row>
    <row r="24" spans="2:5" x14ac:dyDescent="0.25">
      <c r="B24" s="57" t="s">
        <v>104</v>
      </c>
      <c r="C24" s="58">
        <v>1.2310825843001503</v>
      </c>
      <c r="D24" s="59">
        <v>360</v>
      </c>
      <c r="E24" s="60">
        <f t="shared" si="0"/>
        <v>3.4196738452781953E-3</v>
      </c>
    </row>
    <row r="25" spans="2:5" x14ac:dyDescent="0.25">
      <c r="B25" s="57" t="s">
        <v>105</v>
      </c>
      <c r="C25" s="58">
        <v>1.2310825843001503</v>
      </c>
      <c r="D25" s="59">
        <v>286</v>
      </c>
      <c r="E25" s="60">
        <f t="shared" si="0"/>
        <v>4.3044845604900362E-3</v>
      </c>
    </row>
    <row r="26" spans="2:5" x14ac:dyDescent="0.25">
      <c r="B26" s="57" t="s">
        <v>106</v>
      </c>
      <c r="C26" s="58">
        <v>1.2310825843001503</v>
      </c>
      <c r="D26" s="59">
        <v>248</v>
      </c>
      <c r="E26" s="60">
        <f t="shared" si="0"/>
        <v>4.9640426786296378E-3</v>
      </c>
    </row>
    <row r="27" spans="2:5" x14ac:dyDescent="0.25">
      <c r="B27" s="57" t="s">
        <v>107</v>
      </c>
      <c r="C27" s="58">
        <v>1.2310825843001503</v>
      </c>
      <c r="D27" s="59">
        <v>286</v>
      </c>
      <c r="E27" s="60">
        <f t="shared" si="0"/>
        <v>4.3044845604900362E-3</v>
      </c>
    </row>
    <row r="28" spans="2:5" x14ac:dyDescent="0.25">
      <c r="B28" s="57" t="s">
        <v>108</v>
      </c>
      <c r="C28" s="58">
        <v>1.2310825843001503</v>
      </c>
      <c r="D28" s="59">
        <v>390</v>
      </c>
      <c r="E28" s="60">
        <f t="shared" si="0"/>
        <v>3.1566220110260264E-3</v>
      </c>
    </row>
    <row r="29" spans="2:5" x14ac:dyDescent="0.25">
      <c r="B29" s="57" t="s">
        <v>109</v>
      </c>
      <c r="C29" s="58">
        <v>1.2310825843001503</v>
      </c>
      <c r="D29" s="59">
        <v>360</v>
      </c>
      <c r="E29" s="60">
        <f t="shared" si="0"/>
        <v>3.4196738452781953E-3</v>
      </c>
    </row>
    <row r="30" spans="2:5" x14ac:dyDescent="0.25">
      <c r="B30" s="57" t="s">
        <v>110</v>
      </c>
      <c r="C30" s="58">
        <v>1.2310825843001503</v>
      </c>
      <c r="D30" s="59">
        <v>286</v>
      </c>
      <c r="E30" s="60">
        <f t="shared" si="0"/>
        <v>4.3044845604900362E-3</v>
      </c>
    </row>
    <row r="31" spans="2:5" x14ac:dyDescent="0.25">
      <c r="B31" s="57" t="s">
        <v>111</v>
      </c>
      <c r="C31" s="58">
        <v>1.2310825843001503</v>
      </c>
      <c r="D31" s="59">
        <v>360</v>
      </c>
      <c r="E31" s="60">
        <f t="shared" si="0"/>
        <v>3.4196738452781953E-3</v>
      </c>
    </row>
    <row r="32" spans="2:5" x14ac:dyDescent="0.25">
      <c r="B32" s="57" t="s">
        <v>112</v>
      </c>
      <c r="C32" s="58">
        <v>1.2310825843001503</v>
      </c>
      <c r="D32" s="59">
        <v>360</v>
      </c>
      <c r="E32" s="60">
        <f t="shared" si="0"/>
        <v>3.4196738452781953E-3</v>
      </c>
    </row>
    <row r="33" spans="2:5" x14ac:dyDescent="0.25">
      <c r="B33" s="57" t="s">
        <v>113</v>
      </c>
      <c r="C33" s="58">
        <v>1.2310825843001503</v>
      </c>
      <c r="D33" s="59">
        <v>312</v>
      </c>
      <c r="E33" s="60">
        <f t="shared" si="0"/>
        <v>3.9457775137825331E-3</v>
      </c>
    </row>
    <row r="34" spans="2:5" x14ac:dyDescent="0.25">
      <c r="B34" s="57" t="s">
        <v>114</v>
      </c>
      <c r="C34" s="58">
        <v>1.2310825843001503</v>
      </c>
      <c r="D34" s="59">
        <v>286</v>
      </c>
      <c r="E34" s="60">
        <f t="shared" si="0"/>
        <v>4.3044845604900362E-3</v>
      </c>
    </row>
    <row r="35" spans="2:5" x14ac:dyDescent="0.25">
      <c r="B35" s="57" t="s">
        <v>115</v>
      </c>
      <c r="C35" s="58">
        <v>1.2310825843001503</v>
      </c>
      <c r="D35" s="59">
        <v>240</v>
      </c>
      <c r="E35" s="60">
        <f t="shared" si="0"/>
        <v>5.1295107679172926E-3</v>
      </c>
    </row>
    <row r="36" spans="2:5" x14ac:dyDescent="0.25">
      <c r="B36" s="57" t="s">
        <v>116</v>
      </c>
      <c r="C36" s="58">
        <v>1.2310825843001503</v>
      </c>
      <c r="D36" s="59">
        <v>256</v>
      </c>
      <c r="E36" s="60">
        <f t="shared" si="0"/>
        <v>4.808916344922462E-3</v>
      </c>
    </row>
    <row r="37" spans="2:5" x14ac:dyDescent="0.25">
      <c r="B37" s="57" t="s">
        <v>15</v>
      </c>
      <c r="C37" s="58">
        <v>1.0862493390883678</v>
      </c>
      <c r="D37" s="59">
        <v>540</v>
      </c>
      <c r="E37" s="60">
        <f t="shared" si="0"/>
        <v>2.011572850163644E-3</v>
      </c>
    </row>
    <row r="38" spans="2:5" x14ac:dyDescent="0.25">
      <c r="B38" s="57" t="s">
        <v>16</v>
      </c>
      <c r="C38" s="58">
        <v>1.0862493390883678</v>
      </c>
      <c r="D38" s="59">
        <v>540</v>
      </c>
      <c r="E38" s="60">
        <f t="shared" si="0"/>
        <v>2.011572850163644E-3</v>
      </c>
    </row>
    <row r="39" spans="2:5" x14ac:dyDescent="0.25">
      <c r="B39" s="57" t="s">
        <v>17</v>
      </c>
      <c r="C39" s="58">
        <v>1.0862493390883678</v>
      </c>
      <c r="D39" s="59">
        <v>540</v>
      </c>
      <c r="E39" s="60">
        <f t="shared" si="0"/>
        <v>2.011572850163644E-3</v>
      </c>
    </row>
    <row r="40" spans="2:5" x14ac:dyDescent="0.25">
      <c r="B40" s="61" t="s">
        <v>18</v>
      </c>
      <c r="C40" s="62">
        <f>SUM(C14:C39)</f>
        <v>31.573647456168562</v>
      </c>
      <c r="D40" s="63">
        <f>SUM(D14:D39)</f>
        <v>8325</v>
      </c>
      <c r="E40" s="64">
        <f t="shared" ref="E40" si="1">IFERROR(C40/D40,0)</f>
        <v>3.7926303250652928E-3</v>
      </c>
    </row>
    <row r="43" spans="2:5" x14ac:dyDescent="0.25">
      <c r="E43" s="65"/>
    </row>
  </sheetData>
  <mergeCells count="5">
    <mergeCell ref="B2:E2"/>
    <mergeCell ref="B3:E3"/>
    <mergeCell ref="B4:E4"/>
    <mergeCell ref="C9:D9"/>
    <mergeCell ref="C10:D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A9D38-B803-4EBE-92DD-0F9430A8C8C2}">
  <dimension ref="B2:M84"/>
  <sheetViews>
    <sheetView showGridLines="0" zoomScale="85" zoomScaleNormal="85" workbookViewId="0">
      <selection activeCell="D12" sqref="D12"/>
    </sheetView>
  </sheetViews>
  <sheetFormatPr baseColWidth="10" defaultColWidth="9.140625" defaultRowHeight="15" x14ac:dyDescent="0.25"/>
  <cols>
    <col min="1" max="1" width="5.28515625" customWidth="1"/>
    <col min="2" max="2" width="28.5703125" bestFit="1" customWidth="1"/>
    <col min="3" max="3" width="37.140625" bestFit="1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48" t="s">
        <v>117</v>
      </c>
      <c r="C2" s="48"/>
      <c r="D2" s="48"/>
      <c r="E2" s="48"/>
      <c r="F2" s="48"/>
      <c r="G2" s="48"/>
      <c r="H2" s="48"/>
      <c r="K2" s="45"/>
    </row>
    <row r="3" spans="2:13" x14ac:dyDescent="0.25">
      <c r="B3" s="53" t="s">
        <v>118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2:13" x14ac:dyDescent="0.25">
      <c r="B4" s="48" t="s">
        <v>2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6" spans="2:13" x14ac:dyDescent="0.25">
      <c r="B6" t="s">
        <v>3</v>
      </c>
      <c r="C6" t="s">
        <v>4</v>
      </c>
    </row>
    <row r="7" spans="2:13" x14ac:dyDescent="0.25">
      <c r="B7" t="s">
        <v>5</v>
      </c>
      <c r="C7" s="6">
        <v>2022</v>
      </c>
    </row>
    <row r="8" spans="2:13" x14ac:dyDescent="0.25">
      <c r="B8" t="s">
        <v>6</v>
      </c>
      <c r="C8" t="s">
        <v>119</v>
      </c>
    </row>
    <row r="9" spans="2:13" ht="15" customHeight="1" x14ac:dyDescent="0.25">
      <c r="B9" t="s">
        <v>7</v>
      </c>
      <c r="C9" s="66" t="s">
        <v>120</v>
      </c>
      <c r="D9" s="66"/>
      <c r="E9" s="66"/>
      <c r="F9" s="66"/>
      <c r="J9" s="1"/>
      <c r="K9" s="1"/>
      <c r="L9" s="1"/>
    </row>
    <row r="10" spans="2:13" ht="15" customHeight="1" x14ac:dyDescent="0.25">
      <c r="B10" t="s">
        <v>9</v>
      </c>
      <c r="C10" s="50" t="s">
        <v>121</v>
      </c>
      <c r="D10" s="50"/>
      <c r="E10" s="50"/>
      <c r="F10" s="50"/>
      <c r="G10" s="67"/>
      <c r="I10" s="68"/>
      <c r="J10" s="68"/>
      <c r="K10" s="68"/>
      <c r="L10" s="68"/>
      <c r="M10" s="67"/>
    </row>
    <row r="11" spans="2:13" x14ac:dyDescent="0.25">
      <c r="D11" s="69">
        <v>2</v>
      </c>
      <c r="E11" s="69">
        <v>3</v>
      </c>
      <c r="F11" s="69">
        <v>4</v>
      </c>
      <c r="G11" s="69">
        <v>5</v>
      </c>
    </row>
    <row r="12" spans="2:13" x14ac:dyDescent="0.25">
      <c r="B12" s="70" t="s">
        <v>90</v>
      </c>
      <c r="C12" s="70"/>
      <c r="D12" s="71" t="s">
        <v>122</v>
      </c>
      <c r="E12" s="71" t="s">
        <v>123</v>
      </c>
      <c r="F12" s="72" t="s">
        <v>124</v>
      </c>
      <c r="G12" s="72" t="s">
        <v>125</v>
      </c>
      <c r="H12" s="72" t="s">
        <v>126</v>
      </c>
    </row>
    <row r="13" spans="2:13" x14ac:dyDescent="0.25">
      <c r="B13" s="73" t="s">
        <v>127</v>
      </c>
      <c r="C13" s="74" t="s">
        <v>128</v>
      </c>
      <c r="D13" s="75">
        <f>IFERROR(VLOOKUP($B13,[1]_2TOsiptel!$B:$F,5,0),"")</f>
        <v>761</v>
      </c>
      <c r="E13" s="75">
        <f>IFERROR(VLOOKUP($B13,[1]_2TOsiptel!$B:$F,3,0),"")</f>
        <v>77</v>
      </c>
      <c r="F13" s="75">
        <f>IFERROR(VLOOKUP($B13,[1]_2TOsiptel!$B:$F,4,0),"")</f>
        <v>3046</v>
      </c>
      <c r="G13" s="75">
        <f>IFERROR(VLOOKUP($B13,[1]_2TOsiptel!$B:$F,2,0),"")</f>
        <v>800</v>
      </c>
      <c r="H13" s="76">
        <f>IF(SUM(D13:G13)&gt;0,SUM(D13:G13),"")</f>
        <v>4684</v>
      </c>
      <c r="I13" s="13"/>
      <c r="J13" s="77"/>
    </row>
    <row r="14" spans="2:13" x14ac:dyDescent="0.25">
      <c r="B14" s="78"/>
      <c r="C14" s="74" t="s">
        <v>129</v>
      </c>
      <c r="D14" s="75">
        <f>IFERROR(VLOOKUP($B13,[1]_1TOsipte!$B:$G,5,0),"")</f>
        <v>787</v>
      </c>
      <c r="E14" s="75">
        <f>IFERROR(VLOOKUP($B13,[1]_1TOsipte!$B:$G,3,0),"")</f>
        <v>78</v>
      </c>
      <c r="F14" s="75">
        <f>IFERROR(VLOOKUP($B13,[1]_1TOsipte!$B:$G,4,0),"")</f>
        <v>3126</v>
      </c>
      <c r="G14" s="75">
        <f>IFERROR(VLOOKUP($B13,[1]_1TOsipte!$B:$G,2,0),"")</f>
        <v>804</v>
      </c>
      <c r="H14" s="76">
        <f>IF(SUM(D14:G14)&gt;0,SUM(D14:G14),"")</f>
        <v>4795</v>
      </c>
      <c r="I14" s="13"/>
      <c r="J14" s="77"/>
    </row>
    <row r="15" spans="2:13" x14ac:dyDescent="0.25">
      <c r="B15" s="79"/>
      <c r="C15" s="74" t="s">
        <v>130</v>
      </c>
      <c r="D15" s="80">
        <f>IFERROR((D13/D14),"")</f>
        <v>0.96696315120711562</v>
      </c>
      <c r="E15" s="80">
        <f>IFERROR((E13/E14),"")</f>
        <v>0.98717948717948723</v>
      </c>
      <c r="F15" s="80">
        <f>IFERROR((F13/F14),"")</f>
        <v>0.97440818937939855</v>
      </c>
      <c r="G15" s="80">
        <f>IFERROR((G13/G14),"")</f>
        <v>0.99502487562189057</v>
      </c>
      <c r="H15" s="80">
        <f>IFERROR((H13/H14),"")</f>
        <v>0.97685088633993744</v>
      </c>
      <c r="I15" s="13"/>
      <c r="J15" s="77"/>
    </row>
    <row r="16" spans="2:13" x14ac:dyDescent="0.25">
      <c r="B16" s="73" t="s">
        <v>131</v>
      </c>
      <c r="C16" s="74" t="s">
        <v>128</v>
      </c>
      <c r="D16" s="75">
        <f>IFERROR(VLOOKUP($B16,[1]_2TOsiptel!$B:$F,5,0),"")</f>
        <v>248</v>
      </c>
      <c r="E16" s="75">
        <f>IFERROR(VLOOKUP($B16,[1]_2TOsiptel!$B:$F,3,0),"")</f>
        <v>20</v>
      </c>
      <c r="F16" s="75">
        <f>IFERROR(VLOOKUP($B16,[1]_2TOsiptel!$B:$F,4,0),"")</f>
        <v>1938</v>
      </c>
      <c r="G16" s="75">
        <f>IFERROR(VLOOKUP($B16,[1]_2TOsiptel!$B:$F,2,0),"")</f>
        <v>350</v>
      </c>
      <c r="H16" s="76">
        <f t="shared" ref="H16:H17" si="0">IF(SUM(D16:G16)&gt;0,SUM(D16:G16),"")</f>
        <v>2556</v>
      </c>
      <c r="I16" s="13"/>
      <c r="J16" s="77"/>
    </row>
    <row r="17" spans="2:10" x14ac:dyDescent="0.25">
      <c r="B17" s="78"/>
      <c r="C17" s="74" t="s">
        <v>129</v>
      </c>
      <c r="D17" s="75">
        <f>IFERROR(VLOOKUP($B16,[1]_1TOsipte!$B:$G,5,0),"")</f>
        <v>249</v>
      </c>
      <c r="E17" s="75">
        <f>IFERROR(VLOOKUP($B16,[1]_1TOsipte!$B:$G,3,0),"")</f>
        <v>20</v>
      </c>
      <c r="F17" s="75">
        <f>IFERROR(VLOOKUP($B16,[1]_1TOsipte!$B:$G,4,0),"")</f>
        <v>1953</v>
      </c>
      <c r="G17" s="75">
        <f>IFERROR(VLOOKUP($B16,[1]_1TOsipte!$B:$G,2,0),"")</f>
        <v>351</v>
      </c>
      <c r="H17" s="76">
        <f t="shared" si="0"/>
        <v>2573</v>
      </c>
      <c r="I17" s="13"/>
      <c r="J17" s="77"/>
    </row>
    <row r="18" spans="2:10" x14ac:dyDescent="0.25">
      <c r="B18" s="79"/>
      <c r="C18" s="74" t="s">
        <v>130</v>
      </c>
      <c r="D18" s="80">
        <f t="shared" ref="D18:H18" si="1">IFERROR((D16/D17),"")</f>
        <v>0.99598393574297184</v>
      </c>
      <c r="E18" s="80">
        <f t="shared" si="1"/>
        <v>1</v>
      </c>
      <c r="F18" s="80">
        <f t="shared" si="1"/>
        <v>0.99231950844854067</v>
      </c>
      <c r="G18" s="80">
        <f t="shared" si="1"/>
        <v>0.9971509971509972</v>
      </c>
      <c r="H18" s="80">
        <f t="shared" si="1"/>
        <v>0.9933929265448892</v>
      </c>
      <c r="I18" s="13"/>
      <c r="J18" s="77"/>
    </row>
    <row r="19" spans="2:10" x14ac:dyDescent="0.25">
      <c r="B19" s="73" t="s">
        <v>132</v>
      </c>
      <c r="C19" s="74" t="s">
        <v>128</v>
      </c>
      <c r="D19" s="75">
        <f>IFERROR(VLOOKUP($B19,[1]_2TOsiptel!$B:$F,5,0),"")</f>
        <v>1001</v>
      </c>
      <c r="E19" s="75">
        <f>IFERROR(VLOOKUP($B19,[1]_2TOsiptel!$B:$F,3,0),"")</f>
        <v>219</v>
      </c>
      <c r="F19" s="75">
        <f>IFERROR(VLOOKUP($B19,[1]_2TOsiptel!$B:$F,4,0),"")</f>
        <v>4827</v>
      </c>
      <c r="G19" s="75">
        <f>IFERROR(VLOOKUP($B19,[1]_2TOsiptel!$B:$F,2,0),"")</f>
        <v>474</v>
      </c>
      <c r="H19" s="76">
        <f t="shared" ref="H19:H20" si="2">IF(SUM(D19:G19)&gt;0,SUM(D19:G19),"")</f>
        <v>6521</v>
      </c>
      <c r="I19" s="13"/>
      <c r="J19" s="77"/>
    </row>
    <row r="20" spans="2:10" x14ac:dyDescent="0.25">
      <c r="B20" s="78"/>
      <c r="C20" s="74" t="s">
        <v>129</v>
      </c>
      <c r="D20" s="75">
        <f>IFERROR(VLOOKUP($B19,[1]_1TOsipte!$B:$G,5,0),"")</f>
        <v>1002</v>
      </c>
      <c r="E20" s="75">
        <f>IFERROR(VLOOKUP($B19,[1]_1TOsipte!$B:$G,3,0),"")</f>
        <v>219</v>
      </c>
      <c r="F20" s="75">
        <f>IFERROR(VLOOKUP($B19,[1]_1TOsipte!$B:$G,4,0),"")</f>
        <v>4827</v>
      </c>
      <c r="G20" s="75">
        <f>IFERROR(VLOOKUP($B19,[1]_1TOsipte!$B:$G,2,0),"")</f>
        <v>474</v>
      </c>
      <c r="H20" s="76">
        <f t="shared" si="2"/>
        <v>6522</v>
      </c>
      <c r="I20" s="13"/>
      <c r="J20" s="77"/>
    </row>
    <row r="21" spans="2:10" x14ac:dyDescent="0.25">
      <c r="B21" s="79"/>
      <c r="C21" s="74" t="s">
        <v>130</v>
      </c>
      <c r="D21" s="80">
        <f t="shared" ref="D21:H21" si="3">IFERROR((D19/D20),"")</f>
        <v>0.99900199600798401</v>
      </c>
      <c r="E21" s="80">
        <f t="shared" si="3"/>
        <v>1</v>
      </c>
      <c r="F21" s="80">
        <f t="shared" si="3"/>
        <v>1</v>
      </c>
      <c r="G21" s="80">
        <f t="shared" si="3"/>
        <v>1</v>
      </c>
      <c r="H21" s="80">
        <f t="shared" si="3"/>
        <v>0.9998466727997547</v>
      </c>
      <c r="I21" s="13"/>
      <c r="J21" s="77"/>
    </row>
    <row r="22" spans="2:10" x14ac:dyDescent="0.25">
      <c r="B22" s="73" t="s">
        <v>105</v>
      </c>
      <c r="C22" s="74" t="s">
        <v>128</v>
      </c>
      <c r="D22" s="75">
        <f>IFERROR(VLOOKUP($B22,[1]_2TOsiptel!$B:$F,5,0),"")</f>
        <v>29</v>
      </c>
      <c r="E22" s="75">
        <f>IFERROR(VLOOKUP($B22,[1]_2TOsiptel!$B:$F,3,0),"")</f>
        <v>1</v>
      </c>
      <c r="F22" s="75">
        <f>IFERROR(VLOOKUP($B22,[1]_2TOsiptel!$B:$F,4,0),"")</f>
        <v>1345</v>
      </c>
      <c r="G22" s="75">
        <f>IFERROR(VLOOKUP($B22,[1]_2TOsiptel!$B:$F,2,0),"")</f>
        <v>10</v>
      </c>
      <c r="H22" s="76">
        <f t="shared" ref="H22:H23" si="4">IF(SUM(D22:G22)&gt;0,SUM(D22:G22),"")</f>
        <v>1385</v>
      </c>
      <c r="I22" s="13"/>
      <c r="J22" s="77"/>
    </row>
    <row r="23" spans="2:10" x14ac:dyDescent="0.25">
      <c r="B23" s="78"/>
      <c r="C23" s="74" t="s">
        <v>129</v>
      </c>
      <c r="D23" s="75">
        <f>IFERROR(VLOOKUP($B22,[1]_1TOsipte!$B:$G,5,0),"")</f>
        <v>36</v>
      </c>
      <c r="E23" s="75">
        <f>IFERROR(VLOOKUP($B22,[1]_1TOsipte!$B:$G,3,0),"")</f>
        <v>2</v>
      </c>
      <c r="F23" s="75">
        <f>IFERROR(VLOOKUP($B22,[1]_1TOsipte!$B:$G,4,0),"")</f>
        <v>1541</v>
      </c>
      <c r="G23" s="75">
        <f>IFERROR(VLOOKUP($B22,[1]_1TOsipte!$B:$G,2,0),"")</f>
        <v>10</v>
      </c>
      <c r="H23" s="76">
        <f t="shared" si="4"/>
        <v>1589</v>
      </c>
      <c r="I23" s="13"/>
      <c r="J23" s="77"/>
    </row>
    <row r="24" spans="2:10" x14ac:dyDescent="0.25">
      <c r="B24" s="79"/>
      <c r="C24" s="74" t="s">
        <v>130</v>
      </c>
      <c r="D24" s="80">
        <f t="shared" ref="D24:H24" si="5">IFERROR((D22/D23),"")</f>
        <v>0.80555555555555558</v>
      </c>
      <c r="E24" s="80">
        <f t="shared" si="5"/>
        <v>0.5</v>
      </c>
      <c r="F24" s="80">
        <f t="shared" si="5"/>
        <v>0.87280986372485403</v>
      </c>
      <c r="G24" s="80">
        <f t="shared" si="5"/>
        <v>1</v>
      </c>
      <c r="H24" s="80">
        <f t="shared" si="5"/>
        <v>0.87161736941472623</v>
      </c>
      <c r="I24" s="13"/>
      <c r="J24" s="77"/>
    </row>
    <row r="25" spans="2:10" x14ac:dyDescent="0.25">
      <c r="B25" s="73" t="s">
        <v>133</v>
      </c>
      <c r="C25" s="74" t="s">
        <v>128</v>
      </c>
      <c r="D25" s="75">
        <f>IFERROR(VLOOKUP($B25,[1]_2TOsiptel!$B:$F,5,0),"")</f>
        <v>1713</v>
      </c>
      <c r="E25" s="75">
        <f>IFERROR(VLOOKUP($B25,[1]_2TOsiptel!$B:$F,3,0),"")</f>
        <v>330</v>
      </c>
      <c r="F25" s="75">
        <f>IFERROR(VLOOKUP($B25,[1]_2TOsiptel!$B:$F,4,0),"")</f>
        <v>2354</v>
      </c>
      <c r="G25" s="75">
        <f>IFERROR(VLOOKUP($B25,[1]_2TOsiptel!$B:$F,2,0),"")</f>
        <v>362</v>
      </c>
      <c r="H25" s="76">
        <f t="shared" ref="H25:H26" si="6">IF(SUM(D25:G25)&gt;0,SUM(D25:G25),"")</f>
        <v>4759</v>
      </c>
      <c r="I25" s="13"/>
      <c r="J25" s="77"/>
    </row>
    <row r="26" spans="2:10" x14ac:dyDescent="0.25">
      <c r="B26" s="78"/>
      <c r="C26" s="74" t="s">
        <v>129</v>
      </c>
      <c r="D26" s="75">
        <f>IFERROR(VLOOKUP($B25,[1]_1TOsipte!$B:$G,5,0),"")</f>
        <v>1959</v>
      </c>
      <c r="E26" s="75">
        <f>IFERROR(VLOOKUP($B25,[1]_1TOsipte!$B:$G,3,0),"")</f>
        <v>366</v>
      </c>
      <c r="F26" s="75">
        <f>IFERROR(VLOOKUP($B25,[1]_1TOsipte!$B:$G,4,0),"")</f>
        <v>2516</v>
      </c>
      <c r="G26" s="75">
        <f>IFERROR(VLOOKUP($B25,[1]_1TOsipte!$B:$G,2,0),"")</f>
        <v>401</v>
      </c>
      <c r="H26" s="76">
        <f t="shared" si="6"/>
        <v>5242</v>
      </c>
      <c r="I26" s="13"/>
      <c r="J26" s="77"/>
    </row>
    <row r="27" spans="2:10" x14ac:dyDescent="0.25">
      <c r="B27" s="79"/>
      <c r="C27" s="74" t="s">
        <v>130</v>
      </c>
      <c r="D27" s="80">
        <f t="shared" ref="D27:H27" si="7">IFERROR((D25/D26),"")</f>
        <v>0.87442572741194491</v>
      </c>
      <c r="E27" s="80">
        <f t="shared" si="7"/>
        <v>0.90163934426229508</v>
      </c>
      <c r="F27" s="80">
        <f t="shared" si="7"/>
        <v>0.93561208267090623</v>
      </c>
      <c r="G27" s="80">
        <f t="shared" si="7"/>
        <v>0.90274314214463836</v>
      </c>
      <c r="H27" s="80">
        <f t="shared" si="7"/>
        <v>0.90785959557420837</v>
      </c>
      <c r="I27" s="13"/>
      <c r="J27" s="77"/>
    </row>
    <row r="28" spans="2:10" x14ac:dyDescent="0.25">
      <c r="B28" s="73" t="s">
        <v>134</v>
      </c>
      <c r="C28" s="74" t="s">
        <v>128</v>
      </c>
      <c r="D28" s="75">
        <f>IFERROR(VLOOKUP($B28,[1]_2TOsiptel!$B:$F,5,0),"")</f>
        <v>619</v>
      </c>
      <c r="E28" s="75">
        <f>IFERROR(VLOOKUP($B28,[1]_2TOsiptel!$B:$F,3,0),"")</f>
        <v>53</v>
      </c>
      <c r="F28" s="75">
        <f>IFERROR(VLOOKUP($B28,[1]_2TOsiptel!$B:$F,4,0),"")</f>
        <v>2042</v>
      </c>
      <c r="G28" s="75">
        <f>IFERROR(VLOOKUP($B28,[1]_2TOsiptel!$B:$F,2,0),"")</f>
        <v>654</v>
      </c>
      <c r="H28" s="76">
        <f t="shared" ref="H28:H29" si="8">IF(SUM(D28:G28)&gt;0,SUM(D28:G28),"")</f>
        <v>3368</v>
      </c>
      <c r="I28" s="13"/>
      <c r="J28" s="77"/>
    </row>
    <row r="29" spans="2:10" x14ac:dyDescent="0.25">
      <c r="B29" s="78"/>
      <c r="C29" s="74" t="s">
        <v>129</v>
      </c>
      <c r="D29" s="75">
        <f>IFERROR(VLOOKUP($B28,[1]_1TOsipte!$B:$G,5,0),"")</f>
        <v>650</v>
      </c>
      <c r="E29" s="75">
        <f>IFERROR(VLOOKUP($B28,[1]_1TOsipte!$B:$G,3,0),"")</f>
        <v>56</v>
      </c>
      <c r="F29" s="75">
        <f>IFERROR(VLOOKUP($B28,[1]_1TOsipte!$B:$G,4,0),"")</f>
        <v>2129</v>
      </c>
      <c r="G29" s="75">
        <f>IFERROR(VLOOKUP($B28,[1]_1TOsipte!$B:$G,2,0),"")</f>
        <v>659</v>
      </c>
      <c r="H29" s="76">
        <f t="shared" si="8"/>
        <v>3494</v>
      </c>
      <c r="I29" s="13"/>
      <c r="J29" s="77"/>
    </row>
    <row r="30" spans="2:10" x14ac:dyDescent="0.25">
      <c r="B30" s="79"/>
      <c r="C30" s="74" t="s">
        <v>130</v>
      </c>
      <c r="D30" s="80">
        <f t="shared" ref="D30:H30" si="9">IFERROR((D28/D29),"")</f>
        <v>0.9523076923076923</v>
      </c>
      <c r="E30" s="80">
        <f t="shared" si="9"/>
        <v>0.9464285714285714</v>
      </c>
      <c r="F30" s="80">
        <f t="shared" si="9"/>
        <v>0.95913574448097694</v>
      </c>
      <c r="G30" s="80">
        <f t="shared" si="9"/>
        <v>0.99241274658573597</v>
      </c>
      <c r="H30" s="80">
        <f t="shared" si="9"/>
        <v>0.96393817973669149</v>
      </c>
      <c r="I30" s="13"/>
      <c r="J30" s="77"/>
    </row>
    <row r="31" spans="2:10" x14ac:dyDescent="0.25">
      <c r="B31" s="73" t="s">
        <v>135</v>
      </c>
      <c r="C31" s="74" t="s">
        <v>128</v>
      </c>
      <c r="D31" s="75">
        <f>IFERROR(VLOOKUP($B31,[1]_2TOsiptel!$B:$F,5,0),"")</f>
        <v>1327</v>
      </c>
      <c r="E31" s="75">
        <f>IFERROR(VLOOKUP($B31,[1]_2TOsiptel!$B:$F,3,0),"")</f>
        <v>96</v>
      </c>
      <c r="F31" s="75">
        <f>IFERROR(VLOOKUP($B31,[1]_2TOsiptel!$B:$F,4,0),"")</f>
        <v>2520</v>
      </c>
      <c r="G31" s="75">
        <f>IFERROR(VLOOKUP($B31,[1]_2TOsiptel!$B:$F,2,0),"")</f>
        <v>89</v>
      </c>
      <c r="H31" s="76">
        <f t="shared" ref="H31:H32" si="10">IF(SUM(D31:G31)&gt;0,SUM(D31:G31),"")</f>
        <v>4032</v>
      </c>
      <c r="I31" s="13"/>
      <c r="J31" s="77"/>
    </row>
    <row r="32" spans="2:10" x14ac:dyDescent="0.25">
      <c r="B32" s="78"/>
      <c r="C32" s="74" t="s">
        <v>129</v>
      </c>
      <c r="D32" s="75">
        <f>IFERROR(VLOOKUP($B31,[1]_1TOsipte!$B:$G,5,0),"")</f>
        <v>1430</v>
      </c>
      <c r="E32" s="75">
        <f>IFERROR(VLOOKUP($B31,[1]_1TOsipte!$B:$G,3,0),"")</f>
        <v>104</v>
      </c>
      <c r="F32" s="75">
        <f>IFERROR(VLOOKUP($B31,[1]_1TOsipte!$B:$G,4,0),"")</f>
        <v>2601</v>
      </c>
      <c r="G32" s="75">
        <f>IFERROR(VLOOKUP($B31,[1]_1TOsipte!$B:$G,2,0),"")</f>
        <v>89</v>
      </c>
      <c r="H32" s="76">
        <f t="shared" si="10"/>
        <v>4224</v>
      </c>
      <c r="I32" s="13"/>
      <c r="J32" s="77"/>
    </row>
    <row r="33" spans="2:10" x14ac:dyDescent="0.25">
      <c r="B33" s="79"/>
      <c r="C33" s="74" t="s">
        <v>130</v>
      </c>
      <c r="D33" s="80">
        <f t="shared" ref="D33:H33" si="11">IFERROR((D31/D32),"")</f>
        <v>0.92797202797202794</v>
      </c>
      <c r="E33" s="80">
        <f t="shared" si="11"/>
        <v>0.92307692307692313</v>
      </c>
      <c r="F33" s="80">
        <f t="shared" si="11"/>
        <v>0.96885813148788924</v>
      </c>
      <c r="G33" s="80">
        <f t="shared" si="11"/>
        <v>1</v>
      </c>
      <c r="H33" s="80">
        <f t="shared" si="11"/>
        <v>0.95454545454545459</v>
      </c>
      <c r="I33" s="13"/>
      <c r="J33" s="77"/>
    </row>
    <row r="34" spans="2:10" x14ac:dyDescent="0.25">
      <c r="B34" s="73" t="s">
        <v>136</v>
      </c>
      <c r="C34" s="74" t="s">
        <v>128</v>
      </c>
      <c r="D34" s="75">
        <f>IFERROR(VLOOKUP($B34,[1]_2TOsiptel!$B:$F,5,0),"")</f>
        <v>404</v>
      </c>
      <c r="E34" s="75">
        <f>IFERROR(VLOOKUP($B34,[1]_2TOsiptel!$B:$F,3,0),"")</f>
        <v>148</v>
      </c>
      <c r="F34" s="75">
        <f>IFERROR(VLOOKUP($B34,[1]_2TOsiptel!$B:$F,4,0),"")</f>
        <v>2375</v>
      </c>
      <c r="G34" s="75">
        <f>IFERROR(VLOOKUP($B34,[1]_2TOsiptel!$B:$F,2,0),"")</f>
        <v>736</v>
      </c>
      <c r="H34" s="76">
        <f t="shared" ref="H34:H35" si="12">IF(SUM(D34:G34)&gt;0,SUM(D34:G34),"")</f>
        <v>3663</v>
      </c>
      <c r="I34" s="13"/>
      <c r="J34" s="77"/>
    </row>
    <row r="35" spans="2:10" x14ac:dyDescent="0.25">
      <c r="B35" s="78"/>
      <c r="C35" s="74" t="s">
        <v>129</v>
      </c>
      <c r="D35" s="75">
        <f>IFERROR(VLOOKUP($B34,[1]_1TOsipte!$B:$G,5,0),"")</f>
        <v>434</v>
      </c>
      <c r="E35" s="75">
        <f>IFERROR(VLOOKUP($B34,[1]_1TOsipte!$B:$G,3,0),"")</f>
        <v>155</v>
      </c>
      <c r="F35" s="75">
        <f>IFERROR(VLOOKUP($B34,[1]_1TOsipte!$B:$G,4,0),"")</f>
        <v>2541</v>
      </c>
      <c r="G35" s="75">
        <f>IFERROR(VLOOKUP($B34,[1]_1TOsipte!$B:$G,2,0),"")</f>
        <v>747</v>
      </c>
      <c r="H35" s="76">
        <f t="shared" si="12"/>
        <v>3877</v>
      </c>
      <c r="I35" s="13"/>
      <c r="J35" s="77"/>
    </row>
    <row r="36" spans="2:10" x14ac:dyDescent="0.25">
      <c r="B36" s="79"/>
      <c r="C36" s="74" t="s">
        <v>130</v>
      </c>
      <c r="D36" s="80">
        <f t="shared" ref="D36:H36" si="13">IFERROR((D34/D35),"")</f>
        <v>0.93087557603686633</v>
      </c>
      <c r="E36" s="80">
        <f t="shared" si="13"/>
        <v>0.95483870967741935</v>
      </c>
      <c r="F36" s="80">
        <f t="shared" si="13"/>
        <v>0.93467138921684378</v>
      </c>
      <c r="G36" s="80">
        <f t="shared" si="13"/>
        <v>0.98527443105756363</v>
      </c>
      <c r="H36" s="80">
        <f t="shared" si="13"/>
        <v>0.9448026824864586</v>
      </c>
      <c r="I36" s="13"/>
      <c r="J36" s="77"/>
    </row>
    <row r="37" spans="2:10" x14ac:dyDescent="0.25">
      <c r="B37" s="73" t="s">
        <v>137</v>
      </c>
      <c r="C37" s="74" t="s">
        <v>128</v>
      </c>
      <c r="D37" s="75">
        <f>IFERROR(VLOOKUP($B37,[1]_2TOsiptel!$B:$F,5,0),"")</f>
        <v>365</v>
      </c>
      <c r="E37" s="75">
        <f>IFERROR(VLOOKUP($B37,[1]_2TOsiptel!$B:$F,3,0),"")</f>
        <v>93</v>
      </c>
      <c r="F37" s="75">
        <f>IFERROR(VLOOKUP($B37,[1]_2TOsiptel!$B:$F,4,0),"")</f>
        <v>2032</v>
      </c>
      <c r="G37" s="75">
        <f>IFERROR(VLOOKUP($B37,[1]_2TOsiptel!$B:$F,2,0),"")</f>
        <v>180</v>
      </c>
      <c r="H37" s="76">
        <f t="shared" ref="H37:H38" si="14">IF(SUM(D37:G37)&gt;0,SUM(D37:G37),"")</f>
        <v>2670</v>
      </c>
      <c r="I37" s="13"/>
      <c r="J37" s="77"/>
    </row>
    <row r="38" spans="2:10" x14ac:dyDescent="0.25">
      <c r="B38" s="78"/>
      <c r="C38" s="74" t="s">
        <v>129</v>
      </c>
      <c r="D38" s="75">
        <f>IFERROR(VLOOKUP($B37,[1]_1TOsipte!$B:$G,5,0),"")</f>
        <v>377</v>
      </c>
      <c r="E38" s="75">
        <f>IFERROR(VLOOKUP($B37,[1]_1TOsipte!$B:$G,3,0),"")</f>
        <v>94</v>
      </c>
      <c r="F38" s="75">
        <f>IFERROR(VLOOKUP($B37,[1]_1TOsipte!$B:$G,4,0),"")</f>
        <v>2081</v>
      </c>
      <c r="G38" s="75">
        <f>IFERROR(VLOOKUP($B37,[1]_1TOsipte!$B:$G,2,0),"")</f>
        <v>186</v>
      </c>
      <c r="H38" s="76">
        <f t="shared" si="14"/>
        <v>2738</v>
      </c>
      <c r="I38" s="13"/>
      <c r="J38" s="77"/>
    </row>
    <row r="39" spans="2:10" x14ac:dyDescent="0.25">
      <c r="B39" s="79"/>
      <c r="C39" s="74" t="s">
        <v>130</v>
      </c>
      <c r="D39" s="80">
        <f t="shared" ref="D39:H39" si="15">IFERROR((D37/D38),"")</f>
        <v>0.96816976127320953</v>
      </c>
      <c r="E39" s="80">
        <f t="shared" si="15"/>
        <v>0.98936170212765961</v>
      </c>
      <c r="F39" s="80">
        <f t="shared" si="15"/>
        <v>0.97645362806343106</v>
      </c>
      <c r="G39" s="80">
        <f t="shared" si="15"/>
        <v>0.967741935483871</v>
      </c>
      <c r="H39" s="80">
        <f t="shared" si="15"/>
        <v>0.9751643535427319</v>
      </c>
      <c r="I39" s="13"/>
      <c r="J39" s="77"/>
    </row>
    <row r="40" spans="2:10" x14ac:dyDescent="0.25">
      <c r="B40" s="73" t="s">
        <v>138</v>
      </c>
      <c r="C40" s="74" t="s">
        <v>128</v>
      </c>
      <c r="D40" s="75">
        <f>IFERROR(VLOOKUP($B40,[1]_2TOsiptel!$B:$F,5,0),"")</f>
        <v>321</v>
      </c>
      <c r="E40" s="75">
        <f>IFERROR(VLOOKUP($B40,[1]_2TOsiptel!$B:$F,3,0),"")</f>
        <v>173</v>
      </c>
      <c r="F40" s="75">
        <f>IFERROR(VLOOKUP($B40,[1]_2TOsiptel!$B:$F,4,0),"")</f>
        <v>3635</v>
      </c>
      <c r="G40" s="75">
        <f>IFERROR(VLOOKUP($B40,[1]_2TOsiptel!$B:$F,2,0),"")</f>
        <v>301</v>
      </c>
      <c r="H40" s="76">
        <f t="shared" ref="H40:H41" si="16">IF(SUM(D40:G40)&gt;0,SUM(D40:G40),"")</f>
        <v>4430</v>
      </c>
      <c r="I40" s="13"/>
      <c r="J40" s="77"/>
    </row>
    <row r="41" spans="2:10" x14ac:dyDescent="0.25">
      <c r="B41" s="78"/>
      <c r="C41" s="74" t="s">
        <v>129</v>
      </c>
      <c r="D41" s="75">
        <f>IFERROR(VLOOKUP($B40,[1]_1TOsipte!$B:$G,5,0),"")</f>
        <v>360</v>
      </c>
      <c r="E41" s="75">
        <f>IFERROR(VLOOKUP($B40,[1]_1TOsipte!$B:$G,3,0),"")</f>
        <v>200</v>
      </c>
      <c r="F41" s="75">
        <f>IFERROR(VLOOKUP($B40,[1]_1TOsipte!$B:$G,4,0),"")</f>
        <v>4077</v>
      </c>
      <c r="G41" s="75">
        <f>IFERROR(VLOOKUP($B40,[1]_1TOsipte!$B:$G,2,0),"")</f>
        <v>310</v>
      </c>
      <c r="H41" s="76">
        <f t="shared" si="16"/>
        <v>4947</v>
      </c>
      <c r="I41" s="13"/>
      <c r="J41" s="77"/>
    </row>
    <row r="42" spans="2:10" x14ac:dyDescent="0.25">
      <c r="B42" s="79"/>
      <c r="C42" s="74" t="s">
        <v>130</v>
      </c>
      <c r="D42" s="80">
        <f t="shared" ref="D42:H42" si="17">IFERROR((D40/D41),"")</f>
        <v>0.89166666666666672</v>
      </c>
      <c r="E42" s="80">
        <f t="shared" si="17"/>
        <v>0.86499999999999999</v>
      </c>
      <c r="F42" s="80">
        <f t="shared" si="17"/>
        <v>0.89158695118960019</v>
      </c>
      <c r="G42" s="80">
        <f t="shared" si="17"/>
        <v>0.97096774193548385</v>
      </c>
      <c r="H42" s="80">
        <f t="shared" si="17"/>
        <v>0.89549221750555896</v>
      </c>
      <c r="I42" s="13"/>
      <c r="J42" s="77"/>
    </row>
    <row r="43" spans="2:10" x14ac:dyDescent="0.25">
      <c r="B43" s="73" t="s">
        <v>103</v>
      </c>
      <c r="C43" s="74" t="s">
        <v>128</v>
      </c>
      <c r="D43" s="75">
        <f>IFERROR(VLOOKUP($B43,[1]_2TOsiptel!$B:$F,5,0),"")</f>
        <v>627</v>
      </c>
      <c r="E43" s="75">
        <f>IFERROR(VLOOKUP($B43,[1]_2TOsiptel!$B:$F,3,0),"")</f>
        <v>103</v>
      </c>
      <c r="F43" s="75">
        <f>IFERROR(VLOOKUP($B43,[1]_2TOsiptel!$B:$F,4,0),"")</f>
        <v>3436</v>
      </c>
      <c r="G43" s="75">
        <f>IFERROR(VLOOKUP($B43,[1]_2TOsiptel!$B:$F,2,0),"")</f>
        <v>440</v>
      </c>
      <c r="H43" s="76">
        <f t="shared" ref="H43:H44" si="18">IF(SUM(D43:G43)&gt;0,SUM(D43:G43),"")</f>
        <v>4606</v>
      </c>
      <c r="I43" s="13"/>
      <c r="J43" s="77"/>
    </row>
    <row r="44" spans="2:10" x14ac:dyDescent="0.25">
      <c r="B44" s="78"/>
      <c r="C44" s="74" t="s">
        <v>129</v>
      </c>
      <c r="D44" s="75">
        <f>IFERROR(VLOOKUP($B43,[1]_1TOsipte!$B:$G,5,0),"")</f>
        <v>760</v>
      </c>
      <c r="E44" s="75">
        <f>IFERROR(VLOOKUP($B43,[1]_1TOsipte!$B:$G,3,0),"")</f>
        <v>115</v>
      </c>
      <c r="F44" s="75">
        <f>IFERROR(VLOOKUP($B43,[1]_1TOsipte!$B:$G,4,0),"")</f>
        <v>4127</v>
      </c>
      <c r="G44" s="75">
        <f>IFERROR(VLOOKUP($B43,[1]_1TOsipte!$B:$G,2,0),"")</f>
        <v>463</v>
      </c>
      <c r="H44" s="76">
        <f t="shared" si="18"/>
        <v>5465</v>
      </c>
      <c r="I44" s="13"/>
      <c r="J44" s="77"/>
    </row>
    <row r="45" spans="2:10" x14ac:dyDescent="0.25">
      <c r="B45" s="79"/>
      <c r="C45" s="74" t="s">
        <v>130</v>
      </c>
      <c r="D45" s="80">
        <f t="shared" ref="D45:H45" si="19">IFERROR((D43/D44),"")</f>
        <v>0.82499999999999996</v>
      </c>
      <c r="E45" s="80">
        <f t="shared" si="19"/>
        <v>0.89565217391304353</v>
      </c>
      <c r="F45" s="80">
        <f t="shared" si="19"/>
        <v>0.83256602859219775</v>
      </c>
      <c r="G45" s="80">
        <f t="shared" si="19"/>
        <v>0.95032397408207347</v>
      </c>
      <c r="H45" s="80">
        <f t="shared" si="19"/>
        <v>0.84281793229643187</v>
      </c>
      <c r="I45" s="13"/>
      <c r="J45" s="77"/>
    </row>
    <row r="46" spans="2:10" x14ac:dyDescent="0.25">
      <c r="B46" s="73" t="s">
        <v>104</v>
      </c>
      <c r="C46" s="74" t="s">
        <v>128</v>
      </c>
      <c r="D46" s="75">
        <f>IFERROR(VLOOKUP($B46,[1]_2TOsiptel!$B:$F,5,0),"")</f>
        <v>769</v>
      </c>
      <c r="E46" s="75">
        <f>IFERROR(VLOOKUP($B46,[1]_2TOsiptel!$B:$F,3,0),"")</f>
        <v>206</v>
      </c>
      <c r="F46" s="75">
        <f>IFERROR(VLOOKUP($B46,[1]_2TOsiptel!$B:$F,4,0),"")</f>
        <v>3111</v>
      </c>
      <c r="G46" s="75">
        <f>IFERROR(VLOOKUP($B46,[1]_2TOsiptel!$B:$F,2,0),"")</f>
        <v>692</v>
      </c>
      <c r="H46" s="76">
        <f t="shared" ref="H46:H47" si="20">IF(SUM(D46:G46)&gt;0,SUM(D46:G46),"")</f>
        <v>4778</v>
      </c>
      <c r="I46" s="13"/>
      <c r="J46" s="77"/>
    </row>
    <row r="47" spans="2:10" x14ac:dyDescent="0.25">
      <c r="B47" s="78"/>
      <c r="C47" s="74" t="s">
        <v>129</v>
      </c>
      <c r="D47" s="75">
        <f>IFERROR(VLOOKUP($B46,[1]_1TOsipte!$B:$G,5,0),"")</f>
        <v>790</v>
      </c>
      <c r="E47" s="75">
        <f>IFERROR(VLOOKUP($B46,[1]_1TOsipte!$B:$G,3,0),"")</f>
        <v>207</v>
      </c>
      <c r="F47" s="75">
        <f>IFERROR(VLOOKUP($B46,[1]_1TOsipte!$B:$G,4,0),"")</f>
        <v>3163</v>
      </c>
      <c r="G47" s="75">
        <f>IFERROR(VLOOKUP($B46,[1]_1TOsipte!$B:$G,2,0),"")</f>
        <v>695</v>
      </c>
      <c r="H47" s="76">
        <f t="shared" si="20"/>
        <v>4855</v>
      </c>
      <c r="I47" s="13"/>
      <c r="J47" s="77"/>
    </row>
    <row r="48" spans="2:10" x14ac:dyDescent="0.25">
      <c r="B48" s="79"/>
      <c r="C48" s="74" t="s">
        <v>130</v>
      </c>
      <c r="D48" s="80">
        <f t="shared" ref="D48:H48" si="21">IFERROR((D46/D47),"")</f>
        <v>0.97341772151898731</v>
      </c>
      <c r="E48" s="80">
        <f t="shared" si="21"/>
        <v>0.99516908212560384</v>
      </c>
      <c r="F48" s="80">
        <f t="shared" si="21"/>
        <v>0.98355991147644639</v>
      </c>
      <c r="G48" s="80">
        <f t="shared" si="21"/>
        <v>0.99568345323741003</v>
      </c>
      <c r="H48" s="80">
        <f t="shared" si="21"/>
        <v>0.984140061791967</v>
      </c>
      <c r="I48" s="13"/>
      <c r="J48" s="77"/>
    </row>
    <row r="49" spans="2:10" x14ac:dyDescent="0.25">
      <c r="B49" s="73" t="s">
        <v>106</v>
      </c>
      <c r="C49" s="74" t="s">
        <v>128</v>
      </c>
      <c r="D49" s="75">
        <f>IFERROR(VLOOKUP($B49,[1]_2TOsiptel!$B:$F,5,0),"")</f>
        <v>525</v>
      </c>
      <c r="E49" s="75">
        <f>IFERROR(VLOOKUP($B49,[1]_2TOsiptel!$B:$F,3,0),"")</f>
        <v>86</v>
      </c>
      <c r="F49" s="75">
        <f>IFERROR(VLOOKUP($B49,[1]_2TOsiptel!$B:$F,4,0),"")</f>
        <v>1386</v>
      </c>
      <c r="G49" s="75">
        <f>IFERROR(VLOOKUP($B49,[1]_2TOsiptel!$B:$F,2,0),"")</f>
        <v>380</v>
      </c>
      <c r="H49" s="76">
        <f t="shared" ref="H49:H50" si="22">IF(SUM(D49:G49)&gt;0,SUM(D49:G49),"")</f>
        <v>2377</v>
      </c>
      <c r="I49" s="13"/>
      <c r="J49" s="77"/>
    </row>
    <row r="50" spans="2:10" x14ac:dyDescent="0.25">
      <c r="B50" s="78"/>
      <c r="C50" s="74" t="s">
        <v>129</v>
      </c>
      <c r="D50" s="75">
        <f>IFERROR(VLOOKUP($B49,[1]_1TOsipte!$B:$G,5,0),"")</f>
        <v>572</v>
      </c>
      <c r="E50" s="75">
        <f>IFERROR(VLOOKUP($B49,[1]_1TOsipte!$B:$G,3,0),"")</f>
        <v>96</v>
      </c>
      <c r="F50" s="75">
        <f>IFERROR(VLOOKUP($B49,[1]_1TOsipte!$B:$G,4,0),"")</f>
        <v>1487</v>
      </c>
      <c r="G50" s="75">
        <f>IFERROR(VLOOKUP($B49,[1]_1TOsipte!$B:$G,2,0),"")</f>
        <v>385</v>
      </c>
      <c r="H50" s="76">
        <f t="shared" si="22"/>
        <v>2540</v>
      </c>
      <c r="I50" s="13"/>
      <c r="J50" s="77"/>
    </row>
    <row r="51" spans="2:10" x14ac:dyDescent="0.25">
      <c r="B51" s="79"/>
      <c r="C51" s="74" t="s">
        <v>130</v>
      </c>
      <c r="D51" s="80">
        <f t="shared" ref="D51:H51" si="23">IFERROR((D49/D50),"")</f>
        <v>0.91783216783216781</v>
      </c>
      <c r="E51" s="80">
        <f t="shared" si="23"/>
        <v>0.89583333333333337</v>
      </c>
      <c r="F51" s="80">
        <f t="shared" si="23"/>
        <v>0.93207800941492935</v>
      </c>
      <c r="G51" s="80">
        <f t="shared" si="23"/>
        <v>0.98701298701298701</v>
      </c>
      <c r="H51" s="80">
        <f t="shared" si="23"/>
        <v>0.93582677165354333</v>
      </c>
      <c r="I51" s="13"/>
      <c r="J51" s="77"/>
    </row>
    <row r="52" spans="2:10" x14ac:dyDescent="0.25">
      <c r="B52" s="73" t="s">
        <v>107</v>
      </c>
      <c r="C52" s="74" t="s">
        <v>128</v>
      </c>
      <c r="D52" s="75">
        <f>IFERROR(VLOOKUP($B52,[1]_2TOsiptel!$B:$F,5,0),"")</f>
        <v>35</v>
      </c>
      <c r="E52" s="75">
        <f>IFERROR(VLOOKUP($B52,[1]_2TOsiptel!$B:$F,3,0),"")</f>
        <v>7</v>
      </c>
      <c r="F52" s="75">
        <f>IFERROR(VLOOKUP($B52,[1]_2TOsiptel!$B:$F,4,0),"")</f>
        <v>540</v>
      </c>
      <c r="G52" s="75">
        <f>IFERROR(VLOOKUP($B52,[1]_2TOsiptel!$B:$F,2,0),"")</f>
        <v>221</v>
      </c>
      <c r="H52" s="76">
        <f t="shared" ref="H52:H53" si="24">IF(SUM(D52:G52)&gt;0,SUM(D52:G52),"")</f>
        <v>803</v>
      </c>
      <c r="I52" s="13"/>
      <c r="J52" s="77"/>
    </row>
    <row r="53" spans="2:10" x14ac:dyDescent="0.25">
      <c r="B53" s="78"/>
      <c r="C53" s="74" t="s">
        <v>129</v>
      </c>
      <c r="D53" s="75">
        <f>IFERROR(VLOOKUP($B52,[1]_1TOsipte!$B:$G,5,0),"")</f>
        <v>37</v>
      </c>
      <c r="E53" s="75">
        <f>IFERROR(VLOOKUP($B52,[1]_1TOsipte!$B:$G,3,0),"")</f>
        <v>9</v>
      </c>
      <c r="F53" s="75">
        <f>IFERROR(VLOOKUP($B52,[1]_1TOsipte!$B:$G,4,0),"")</f>
        <v>589</v>
      </c>
      <c r="G53" s="75">
        <f>IFERROR(VLOOKUP($B52,[1]_1TOsipte!$B:$G,2,0),"")</f>
        <v>225</v>
      </c>
      <c r="H53" s="76">
        <f t="shared" si="24"/>
        <v>860</v>
      </c>
      <c r="I53" s="13"/>
      <c r="J53" s="77"/>
    </row>
    <row r="54" spans="2:10" x14ac:dyDescent="0.25">
      <c r="B54" s="79"/>
      <c r="C54" s="74" t="s">
        <v>130</v>
      </c>
      <c r="D54" s="80">
        <f t="shared" ref="D54:H54" si="25">IFERROR((D52/D53),"")</f>
        <v>0.94594594594594594</v>
      </c>
      <c r="E54" s="80">
        <f t="shared" si="25"/>
        <v>0.77777777777777779</v>
      </c>
      <c r="F54" s="80">
        <f t="shared" si="25"/>
        <v>0.91680814940577249</v>
      </c>
      <c r="G54" s="80">
        <f t="shared" si="25"/>
        <v>0.98222222222222222</v>
      </c>
      <c r="H54" s="80">
        <f t="shared" si="25"/>
        <v>0.93372093023255809</v>
      </c>
      <c r="I54" s="13"/>
      <c r="J54" s="77"/>
    </row>
    <row r="55" spans="2:10" x14ac:dyDescent="0.25">
      <c r="B55" s="73" t="s">
        <v>108</v>
      </c>
      <c r="C55" s="74" t="s">
        <v>128</v>
      </c>
      <c r="D55" s="75">
        <f>IFERROR(VLOOKUP($B55,[1]_2TOsiptel!$B:$F,5,0),"")</f>
        <v>332</v>
      </c>
      <c r="E55" s="75">
        <f>IFERROR(VLOOKUP($B55,[1]_2TOsiptel!$B:$F,3,0),"")</f>
        <v>241</v>
      </c>
      <c r="F55" s="75">
        <f>IFERROR(VLOOKUP($B55,[1]_2TOsiptel!$B:$F,4,0),"")</f>
        <v>3808</v>
      </c>
      <c r="G55" s="75">
        <f>IFERROR(VLOOKUP($B55,[1]_2TOsiptel!$B:$F,2,0),"")</f>
        <v>536</v>
      </c>
      <c r="H55" s="76">
        <f t="shared" ref="H55:H56" si="26">IF(SUM(D55:G55)&gt;0,SUM(D55:G55),"")</f>
        <v>4917</v>
      </c>
      <c r="I55" s="13"/>
      <c r="J55" s="77"/>
    </row>
    <row r="56" spans="2:10" x14ac:dyDescent="0.25">
      <c r="B56" s="78"/>
      <c r="C56" s="74" t="s">
        <v>129</v>
      </c>
      <c r="D56" s="75">
        <f>IFERROR(VLOOKUP($B55,[1]_1TOsipte!$B:$G,5,0),"")</f>
        <v>362</v>
      </c>
      <c r="E56" s="75">
        <f>IFERROR(VLOOKUP($B55,[1]_1TOsipte!$B:$G,3,0),"")</f>
        <v>270</v>
      </c>
      <c r="F56" s="75">
        <f>IFERROR(VLOOKUP($B55,[1]_1TOsipte!$B:$G,4,0),"")</f>
        <v>4145</v>
      </c>
      <c r="G56" s="75">
        <f>IFERROR(VLOOKUP($B55,[1]_1TOsipte!$B:$G,2,0),"")</f>
        <v>561</v>
      </c>
      <c r="H56" s="76">
        <f t="shared" si="26"/>
        <v>5338</v>
      </c>
      <c r="I56" s="13"/>
      <c r="J56" s="77"/>
    </row>
    <row r="57" spans="2:10" x14ac:dyDescent="0.25">
      <c r="B57" s="79"/>
      <c r="C57" s="74" t="s">
        <v>130</v>
      </c>
      <c r="D57" s="80">
        <f t="shared" ref="D57:H57" si="27">IFERROR((D55/D56),"")</f>
        <v>0.91712707182320441</v>
      </c>
      <c r="E57" s="80">
        <f t="shared" si="27"/>
        <v>0.8925925925925926</v>
      </c>
      <c r="F57" s="80">
        <f t="shared" si="27"/>
        <v>0.9186972255729795</v>
      </c>
      <c r="G57" s="80">
        <f t="shared" si="27"/>
        <v>0.9554367201426025</v>
      </c>
      <c r="H57" s="80">
        <f t="shared" si="27"/>
        <v>0.92113150992881232</v>
      </c>
      <c r="I57" s="13"/>
      <c r="J57" s="77"/>
    </row>
    <row r="58" spans="2:10" x14ac:dyDescent="0.25">
      <c r="B58" s="73" t="s">
        <v>109</v>
      </c>
      <c r="C58" s="74" t="s">
        <v>128</v>
      </c>
      <c r="D58" s="75">
        <f>IFERROR(VLOOKUP($B58,[1]_2TOsiptel!$B:$F,5,0),"")</f>
        <v>1550</v>
      </c>
      <c r="E58" s="75">
        <f>IFERROR(VLOOKUP($B58,[1]_2TOsiptel!$B:$F,3,0),"")</f>
        <v>481</v>
      </c>
      <c r="F58" s="75">
        <f>IFERROR(VLOOKUP($B58,[1]_2TOsiptel!$B:$F,4,0),"")</f>
        <v>8796</v>
      </c>
      <c r="G58" s="75">
        <f>IFERROR(VLOOKUP($B58,[1]_2TOsiptel!$B:$F,2,0),"")</f>
        <v>2167</v>
      </c>
      <c r="H58" s="76">
        <f t="shared" ref="H58:H59" si="28">IF(SUM(D58:G58)&gt;0,SUM(D58:G58),"")</f>
        <v>12994</v>
      </c>
      <c r="I58" s="13"/>
      <c r="J58" s="77"/>
    </row>
    <row r="59" spans="2:10" x14ac:dyDescent="0.25">
      <c r="B59" s="78"/>
      <c r="C59" s="74" t="s">
        <v>129</v>
      </c>
      <c r="D59" s="75">
        <f>IFERROR(VLOOKUP($B58,[1]_1TOsipte!$B:$G,5,0),"")</f>
        <v>1597</v>
      </c>
      <c r="E59" s="75">
        <f>IFERROR(VLOOKUP($B58,[1]_1TOsipte!$B:$G,3,0),"")</f>
        <v>492</v>
      </c>
      <c r="F59" s="75">
        <f>IFERROR(VLOOKUP($B58,[1]_1TOsipte!$B:$G,4,0),"")</f>
        <v>9014</v>
      </c>
      <c r="G59" s="75">
        <f>IFERROR(VLOOKUP($B58,[1]_1TOsipte!$B:$G,2,0),"")</f>
        <v>2183</v>
      </c>
      <c r="H59" s="76">
        <f t="shared" si="28"/>
        <v>13286</v>
      </c>
      <c r="I59" s="13"/>
      <c r="J59" s="77"/>
    </row>
    <row r="60" spans="2:10" x14ac:dyDescent="0.25">
      <c r="B60" s="79"/>
      <c r="C60" s="74" t="s">
        <v>130</v>
      </c>
      <c r="D60" s="80">
        <f t="shared" ref="D60:H60" si="29">IFERROR((D58/D59),"")</f>
        <v>0.97056981840951784</v>
      </c>
      <c r="E60" s="80">
        <f t="shared" si="29"/>
        <v>0.97764227642276424</v>
      </c>
      <c r="F60" s="80">
        <f t="shared" si="29"/>
        <v>0.97581539826935881</v>
      </c>
      <c r="G60" s="80">
        <f t="shared" si="29"/>
        <v>0.99267063673843337</v>
      </c>
      <c r="H60" s="80">
        <f t="shared" si="29"/>
        <v>0.97802197802197799</v>
      </c>
      <c r="I60" s="13"/>
      <c r="J60" s="77"/>
    </row>
    <row r="61" spans="2:10" x14ac:dyDescent="0.25">
      <c r="B61" s="73" t="s">
        <v>110</v>
      </c>
      <c r="C61" s="74" t="s">
        <v>128</v>
      </c>
      <c r="D61" s="75">
        <f>IFERROR(VLOOKUP($B61,[1]_2TOsiptel!$B:$F,5,0),"")</f>
        <v>793</v>
      </c>
      <c r="E61" s="75">
        <f>IFERROR(VLOOKUP($B61,[1]_2TOsiptel!$B:$F,3,0),"")</f>
        <v>200</v>
      </c>
      <c r="F61" s="75">
        <f>IFERROR(VLOOKUP($B61,[1]_2TOsiptel!$B:$F,4,0),"")</f>
        <v>4413</v>
      </c>
      <c r="G61" s="75">
        <f>IFERROR(VLOOKUP($B61,[1]_2TOsiptel!$B:$F,2,0),"")</f>
        <v>820</v>
      </c>
      <c r="H61" s="76">
        <f t="shared" ref="H61:H62" si="30">IF(SUM(D61:G61)&gt;0,SUM(D61:G61),"")</f>
        <v>6226</v>
      </c>
      <c r="I61" s="13"/>
      <c r="J61" s="77"/>
    </row>
    <row r="62" spans="2:10" x14ac:dyDescent="0.25">
      <c r="B62" s="78"/>
      <c r="C62" s="74" t="s">
        <v>129</v>
      </c>
      <c r="D62" s="75">
        <f>IFERROR(VLOOKUP($B61,[1]_1TOsipte!$B:$G,5,0),"")</f>
        <v>829</v>
      </c>
      <c r="E62" s="75">
        <f>IFERROR(VLOOKUP($B61,[1]_1TOsipte!$B:$G,3,0),"")</f>
        <v>207</v>
      </c>
      <c r="F62" s="75">
        <f>IFERROR(VLOOKUP($B61,[1]_1TOsipte!$B:$G,4,0),"")</f>
        <v>4550</v>
      </c>
      <c r="G62" s="75">
        <f>IFERROR(VLOOKUP($B61,[1]_1TOsipte!$B:$G,2,0),"")</f>
        <v>826</v>
      </c>
      <c r="H62" s="76">
        <f t="shared" si="30"/>
        <v>6412</v>
      </c>
      <c r="I62" s="13"/>
      <c r="J62" s="77"/>
    </row>
    <row r="63" spans="2:10" x14ac:dyDescent="0.25">
      <c r="B63" s="79"/>
      <c r="C63" s="74" t="s">
        <v>130</v>
      </c>
      <c r="D63" s="80">
        <f t="shared" ref="D63:H63" si="31">IFERROR((D61/D62),"")</f>
        <v>0.95657418576598308</v>
      </c>
      <c r="E63" s="80">
        <f t="shared" si="31"/>
        <v>0.96618357487922701</v>
      </c>
      <c r="F63" s="80">
        <f t="shared" si="31"/>
        <v>0.96989010989010993</v>
      </c>
      <c r="G63" s="80">
        <f t="shared" si="31"/>
        <v>0.99273607748184023</v>
      </c>
      <c r="H63" s="80">
        <f t="shared" si="31"/>
        <v>0.97099189020586396</v>
      </c>
      <c r="I63" s="13"/>
      <c r="J63" s="77"/>
    </row>
    <row r="64" spans="2:10" x14ac:dyDescent="0.25">
      <c r="B64" s="73" t="s">
        <v>111</v>
      </c>
      <c r="C64" s="74" t="s">
        <v>128</v>
      </c>
      <c r="D64" s="75">
        <f>IFERROR(VLOOKUP($B64,[1]_2TOsiptel!$B:$F,5,0),"")</f>
        <v>407</v>
      </c>
      <c r="E64" s="75">
        <f>IFERROR(VLOOKUP($B64,[1]_2TOsiptel!$B:$F,3,0),"")</f>
        <v>187</v>
      </c>
      <c r="F64" s="75">
        <f>IFERROR(VLOOKUP($B64,[1]_2TOsiptel!$B:$F,4,0),"")</f>
        <v>2720</v>
      </c>
      <c r="G64" s="75">
        <f>IFERROR(VLOOKUP($B64,[1]_2TOsiptel!$B:$F,2,0),"")</f>
        <v>695</v>
      </c>
      <c r="H64" s="76">
        <f t="shared" ref="H64:H65" si="32">IF(SUM(D64:G64)&gt;0,SUM(D64:G64),"")</f>
        <v>4009</v>
      </c>
      <c r="I64" s="13"/>
      <c r="J64" s="77"/>
    </row>
    <row r="65" spans="2:10" x14ac:dyDescent="0.25">
      <c r="B65" s="78"/>
      <c r="C65" s="74" t="s">
        <v>129</v>
      </c>
      <c r="D65" s="75">
        <f>IFERROR(VLOOKUP($B64,[1]_1TOsipte!$B:$G,5,0),"")</f>
        <v>446</v>
      </c>
      <c r="E65" s="75">
        <f>IFERROR(VLOOKUP($B64,[1]_1TOsipte!$B:$G,3,0),"")</f>
        <v>196</v>
      </c>
      <c r="F65" s="75">
        <f>IFERROR(VLOOKUP($B64,[1]_1TOsipte!$B:$G,4,0),"")</f>
        <v>2858</v>
      </c>
      <c r="G65" s="75">
        <f>IFERROR(VLOOKUP($B64,[1]_1TOsipte!$B:$G,2,0),"")</f>
        <v>705</v>
      </c>
      <c r="H65" s="76">
        <f t="shared" si="32"/>
        <v>4205</v>
      </c>
      <c r="I65" s="13"/>
      <c r="J65" s="77"/>
    </row>
    <row r="66" spans="2:10" x14ac:dyDescent="0.25">
      <c r="B66" s="79"/>
      <c r="C66" s="74" t="s">
        <v>130</v>
      </c>
      <c r="D66" s="80">
        <f t="shared" ref="D66:H66" si="33">IFERROR((D64/D65),"")</f>
        <v>0.91255605381165916</v>
      </c>
      <c r="E66" s="80">
        <f t="shared" si="33"/>
        <v>0.95408163265306123</v>
      </c>
      <c r="F66" s="80">
        <f t="shared" si="33"/>
        <v>0.95171448565430372</v>
      </c>
      <c r="G66" s="80">
        <f t="shared" si="33"/>
        <v>0.98581560283687941</v>
      </c>
      <c r="H66" s="80">
        <f t="shared" si="33"/>
        <v>0.95338882282996429</v>
      </c>
      <c r="I66" s="13"/>
      <c r="J66" s="77"/>
    </row>
    <row r="67" spans="2:10" x14ac:dyDescent="0.25">
      <c r="B67" s="73" t="s">
        <v>112</v>
      </c>
      <c r="C67" s="74" t="s">
        <v>128</v>
      </c>
      <c r="D67" s="75">
        <f>IFERROR(VLOOKUP($B67,[1]_2TOsiptel!$B:$F,5,0),"")</f>
        <v>1355</v>
      </c>
      <c r="E67" s="75">
        <f>IFERROR(VLOOKUP($B67,[1]_2TOsiptel!$B:$F,3,0),"")</f>
        <v>340</v>
      </c>
      <c r="F67" s="75">
        <f>IFERROR(VLOOKUP($B67,[1]_2TOsiptel!$B:$F,4,0),"")</f>
        <v>4646</v>
      </c>
      <c r="G67" s="75">
        <f>IFERROR(VLOOKUP($B67,[1]_2TOsiptel!$B:$F,2,0),"")</f>
        <v>1335</v>
      </c>
      <c r="H67" s="76">
        <f t="shared" ref="H67:H68" si="34">IF(SUM(D67:G67)&gt;0,SUM(D67:G67),"")</f>
        <v>7676</v>
      </c>
      <c r="I67" s="13"/>
      <c r="J67" s="77"/>
    </row>
    <row r="68" spans="2:10" x14ac:dyDescent="0.25">
      <c r="B68" s="78"/>
      <c r="C68" s="74" t="s">
        <v>129</v>
      </c>
      <c r="D68" s="75">
        <f>IFERROR(VLOOKUP($B67,[1]_1TOsipte!$B:$G,5,0),"")</f>
        <v>1506</v>
      </c>
      <c r="E68" s="75">
        <f>IFERROR(VLOOKUP($B67,[1]_1TOsipte!$B:$G,3,0),"")</f>
        <v>379</v>
      </c>
      <c r="F68" s="75">
        <f>IFERROR(VLOOKUP($B67,[1]_1TOsipte!$B:$G,4,0),"")</f>
        <v>5109</v>
      </c>
      <c r="G68" s="75">
        <f>IFERROR(VLOOKUP($B67,[1]_1TOsipte!$B:$G,2,0),"")</f>
        <v>1368</v>
      </c>
      <c r="H68" s="76">
        <f t="shared" si="34"/>
        <v>8362</v>
      </c>
      <c r="I68" s="13"/>
      <c r="J68" s="77"/>
    </row>
    <row r="69" spans="2:10" x14ac:dyDescent="0.25">
      <c r="B69" s="79"/>
      <c r="C69" s="74" t="s">
        <v>130</v>
      </c>
      <c r="D69" s="80">
        <f t="shared" ref="D69:H69" si="35">IFERROR((D67/D68),"")</f>
        <v>0.89973439575033198</v>
      </c>
      <c r="E69" s="80">
        <f t="shared" si="35"/>
        <v>0.8970976253298153</v>
      </c>
      <c r="F69" s="80">
        <f t="shared" si="35"/>
        <v>0.90937561166568803</v>
      </c>
      <c r="G69" s="80">
        <f t="shared" si="35"/>
        <v>0.97587719298245612</v>
      </c>
      <c r="H69" s="80">
        <f t="shared" si="35"/>
        <v>0.91796220999760825</v>
      </c>
      <c r="I69" s="13"/>
      <c r="J69" s="77"/>
    </row>
    <row r="70" spans="2:10" x14ac:dyDescent="0.25">
      <c r="B70" s="73" t="s">
        <v>113</v>
      </c>
      <c r="C70" s="74" t="s">
        <v>128</v>
      </c>
      <c r="D70" s="75">
        <f>IFERROR(VLOOKUP($B70,[1]_2TOsiptel!$B:$F,5,0),"")</f>
        <v>289</v>
      </c>
      <c r="E70" s="75">
        <f>IFERROR(VLOOKUP($B70,[1]_2TOsiptel!$B:$F,3,0),"")</f>
        <v>106</v>
      </c>
      <c r="F70" s="75">
        <f>IFERROR(VLOOKUP($B70,[1]_2TOsiptel!$B:$F,4,0),"")</f>
        <v>6109</v>
      </c>
      <c r="G70" s="75">
        <f>IFERROR(VLOOKUP($B70,[1]_2TOsiptel!$B:$F,2,0),"")</f>
        <v>880</v>
      </c>
      <c r="H70" s="76">
        <f t="shared" ref="H70:H71" si="36">IF(SUM(D70:G70)&gt;0,SUM(D70:G70),"")</f>
        <v>7384</v>
      </c>
      <c r="I70" s="13"/>
      <c r="J70" s="77"/>
    </row>
    <row r="71" spans="2:10" x14ac:dyDescent="0.25">
      <c r="B71" s="78"/>
      <c r="C71" s="74" t="s">
        <v>129</v>
      </c>
      <c r="D71" s="75">
        <f>IFERROR(VLOOKUP($B70,[1]_1TOsipte!$B:$G,5,0),"")</f>
        <v>317</v>
      </c>
      <c r="E71" s="75">
        <f>IFERROR(VLOOKUP($B70,[1]_1TOsipte!$B:$G,3,0),"")</f>
        <v>115</v>
      </c>
      <c r="F71" s="75">
        <f>IFERROR(VLOOKUP($B70,[1]_1TOsipte!$B:$G,4,0),"")</f>
        <v>6619</v>
      </c>
      <c r="G71" s="75">
        <f>IFERROR(VLOOKUP($B70,[1]_1TOsipte!$B:$G,2,0),"")</f>
        <v>890</v>
      </c>
      <c r="H71" s="76">
        <f t="shared" si="36"/>
        <v>7941</v>
      </c>
      <c r="I71" s="13"/>
      <c r="J71" s="77"/>
    </row>
    <row r="72" spans="2:10" x14ac:dyDescent="0.25">
      <c r="B72" s="79"/>
      <c r="C72" s="74" t="s">
        <v>130</v>
      </c>
      <c r="D72" s="80">
        <f t="shared" ref="D72:H72" si="37">IFERROR((D70/D71),"")</f>
        <v>0.91167192429022081</v>
      </c>
      <c r="E72" s="80">
        <f t="shared" si="37"/>
        <v>0.92173913043478262</v>
      </c>
      <c r="F72" s="80">
        <f t="shared" si="37"/>
        <v>0.9229490859646472</v>
      </c>
      <c r="G72" s="80">
        <f t="shared" si="37"/>
        <v>0.9887640449438202</v>
      </c>
      <c r="H72" s="80">
        <f t="shared" si="37"/>
        <v>0.92985770054149353</v>
      </c>
      <c r="I72" s="13"/>
      <c r="J72" s="77"/>
    </row>
    <row r="73" spans="2:10" x14ac:dyDescent="0.25">
      <c r="B73" s="73" t="s">
        <v>114</v>
      </c>
      <c r="C73" s="74" t="s">
        <v>128</v>
      </c>
      <c r="D73" s="75">
        <f>IFERROR(VLOOKUP($B73,[1]_2TOsiptel!$B:$F,5,0),"")</f>
        <v>6</v>
      </c>
      <c r="E73" s="75">
        <f>IFERROR(VLOOKUP($B73,[1]_2TOsiptel!$B:$F,3,0),"")</f>
        <v>0</v>
      </c>
      <c r="F73" s="75">
        <f>IFERROR(VLOOKUP($B73,[1]_2TOsiptel!$B:$F,4,0),"")</f>
        <v>1716</v>
      </c>
      <c r="G73" s="75">
        <f>IFERROR(VLOOKUP($B73,[1]_2TOsiptel!$B:$F,2,0),"")</f>
        <v>133</v>
      </c>
      <c r="H73" s="76">
        <f t="shared" ref="H73:H74" si="38">IF(SUM(D73:G73)&gt;0,SUM(D73:G73),"")</f>
        <v>1855</v>
      </c>
      <c r="I73" s="13"/>
      <c r="J73" s="77"/>
    </row>
    <row r="74" spans="2:10" x14ac:dyDescent="0.25">
      <c r="B74" s="78"/>
      <c r="C74" s="74" t="s">
        <v>129</v>
      </c>
      <c r="D74" s="75">
        <f>IFERROR(VLOOKUP($B73,[1]_1TOsipte!$B:$G,5,0),"")</f>
        <v>8</v>
      </c>
      <c r="E74" s="75">
        <f>IFERROR(VLOOKUP($B73,[1]_1TOsipte!$B:$G,3,0),"")</f>
        <v>0</v>
      </c>
      <c r="F74" s="75">
        <f>IFERROR(VLOOKUP($B73,[1]_1TOsipte!$B:$G,4,0),"")</f>
        <v>1800</v>
      </c>
      <c r="G74" s="75">
        <f>IFERROR(VLOOKUP($B73,[1]_1TOsipte!$B:$G,2,0),"")</f>
        <v>140</v>
      </c>
      <c r="H74" s="76">
        <f t="shared" si="38"/>
        <v>1948</v>
      </c>
      <c r="I74" s="13"/>
      <c r="J74" s="77"/>
    </row>
    <row r="75" spans="2:10" x14ac:dyDescent="0.25">
      <c r="B75" s="79"/>
      <c r="C75" s="74" t="s">
        <v>130</v>
      </c>
      <c r="D75" s="80">
        <f t="shared" ref="D75:H75" si="39">IFERROR((D73/D74),"")</f>
        <v>0.75</v>
      </c>
      <c r="E75" s="80" t="str">
        <f t="shared" si="39"/>
        <v/>
      </c>
      <c r="F75" s="80">
        <f t="shared" si="39"/>
        <v>0.95333333333333337</v>
      </c>
      <c r="G75" s="80">
        <f t="shared" si="39"/>
        <v>0.95</v>
      </c>
      <c r="H75" s="80">
        <f t="shared" si="39"/>
        <v>0.95225872689938396</v>
      </c>
      <c r="I75" s="13"/>
      <c r="J75" s="77"/>
    </row>
    <row r="76" spans="2:10" x14ac:dyDescent="0.25">
      <c r="B76" s="73" t="s">
        <v>115</v>
      </c>
      <c r="C76" s="74" t="s">
        <v>128</v>
      </c>
      <c r="D76" s="75">
        <f>IFERROR(VLOOKUP($B76,[1]_2TOsiptel!$B:$F,5,0),"")</f>
        <v>17</v>
      </c>
      <c r="E76" s="75">
        <f>IFERROR(VLOOKUP($B76,[1]_2TOsiptel!$B:$F,3,0),"")</f>
        <v>16</v>
      </c>
      <c r="F76" s="75">
        <f>IFERROR(VLOOKUP($B76,[1]_2TOsiptel!$B:$F,4,0),"")</f>
        <v>694</v>
      </c>
      <c r="G76" s="75">
        <f>IFERROR(VLOOKUP($B76,[1]_2TOsiptel!$B:$F,2,0),"")</f>
        <v>344</v>
      </c>
      <c r="H76" s="76">
        <f t="shared" ref="H76:H77" si="40">IF(SUM(D76:G76)&gt;0,SUM(D76:G76),"")</f>
        <v>1071</v>
      </c>
      <c r="I76" s="13"/>
      <c r="J76" s="77"/>
    </row>
    <row r="77" spans="2:10" x14ac:dyDescent="0.25">
      <c r="B77" s="78"/>
      <c r="C77" s="74" t="s">
        <v>129</v>
      </c>
      <c r="D77" s="75">
        <f>IFERROR(VLOOKUP($B76,[1]_1TOsipte!$B:$G,5,0),"")</f>
        <v>18</v>
      </c>
      <c r="E77" s="75">
        <f>IFERROR(VLOOKUP($B76,[1]_1TOsipte!$B:$G,3,0),"")</f>
        <v>16</v>
      </c>
      <c r="F77" s="75">
        <f>IFERROR(VLOOKUP($B76,[1]_1TOsipte!$B:$G,4,0),"")</f>
        <v>702</v>
      </c>
      <c r="G77" s="75">
        <f>IFERROR(VLOOKUP($B76,[1]_1TOsipte!$B:$G,2,0),"")</f>
        <v>346</v>
      </c>
      <c r="H77" s="76">
        <f t="shared" si="40"/>
        <v>1082</v>
      </c>
      <c r="I77" s="13"/>
      <c r="J77" s="77"/>
    </row>
    <row r="78" spans="2:10" x14ac:dyDescent="0.25">
      <c r="B78" s="79"/>
      <c r="C78" s="74" t="s">
        <v>130</v>
      </c>
      <c r="D78" s="80">
        <f t="shared" ref="D78:H78" si="41">IFERROR((D76/D77),"")</f>
        <v>0.94444444444444442</v>
      </c>
      <c r="E78" s="80">
        <f t="shared" si="41"/>
        <v>1</v>
      </c>
      <c r="F78" s="80">
        <f t="shared" si="41"/>
        <v>0.98860398860398857</v>
      </c>
      <c r="G78" s="80">
        <f t="shared" si="41"/>
        <v>0.9942196531791907</v>
      </c>
      <c r="H78" s="80">
        <f t="shared" si="41"/>
        <v>0.9898336414048059</v>
      </c>
      <c r="I78" s="13"/>
      <c r="J78" s="77"/>
    </row>
    <row r="79" spans="2:10" x14ac:dyDescent="0.25">
      <c r="B79" s="73" t="s">
        <v>116</v>
      </c>
      <c r="C79" s="74" t="s">
        <v>128</v>
      </c>
      <c r="D79" s="75">
        <f>IFERROR(VLOOKUP($B79,[1]_2TOsiptel!$B:$F,5,0),"")</f>
        <v>93</v>
      </c>
      <c r="E79" s="75">
        <f>IFERROR(VLOOKUP($B79,[1]_2TOsiptel!$B:$F,3,0),"")</f>
        <v>3</v>
      </c>
      <c r="F79" s="75">
        <f>IFERROR(VLOOKUP($B79,[1]_2TOsiptel!$B:$F,4,0),"")</f>
        <v>606</v>
      </c>
      <c r="G79" s="75">
        <f>IFERROR(VLOOKUP($B79,[1]_2TOsiptel!$B:$F,2,0),"")</f>
        <v>385</v>
      </c>
      <c r="H79" s="76">
        <f t="shared" ref="H79:H80" si="42">IF(SUM(D79:G79)&gt;0,SUM(D79:G79),"")</f>
        <v>1087</v>
      </c>
      <c r="I79" s="13"/>
      <c r="J79" s="77"/>
    </row>
    <row r="80" spans="2:10" x14ac:dyDescent="0.25">
      <c r="B80" s="78"/>
      <c r="C80" s="74" t="s">
        <v>129</v>
      </c>
      <c r="D80" s="75">
        <f>IFERROR(VLOOKUP($B79,[1]_1TOsipte!$B:$G,5,0),"")</f>
        <v>93</v>
      </c>
      <c r="E80" s="75">
        <f>IFERROR(VLOOKUP($B79,[1]_1TOsipte!$B:$G,3,0),"")</f>
        <v>3</v>
      </c>
      <c r="F80" s="75">
        <f>IFERROR(VLOOKUP($B79,[1]_1TOsipte!$B:$G,4,0),"")</f>
        <v>607</v>
      </c>
      <c r="G80" s="75">
        <f>IFERROR(VLOOKUP($B79,[1]_1TOsipte!$B:$G,2,0),"")</f>
        <v>387</v>
      </c>
      <c r="H80" s="76">
        <f t="shared" si="42"/>
        <v>1090</v>
      </c>
      <c r="I80" s="13"/>
      <c r="J80" s="77"/>
    </row>
    <row r="81" spans="2:10" x14ac:dyDescent="0.25">
      <c r="B81" s="79"/>
      <c r="C81" s="74" t="s">
        <v>130</v>
      </c>
      <c r="D81" s="80">
        <f t="shared" ref="D81:H81" si="43">IFERROR((D79/D80),"")</f>
        <v>1</v>
      </c>
      <c r="E81" s="80">
        <f t="shared" si="43"/>
        <v>1</v>
      </c>
      <c r="F81" s="80">
        <f t="shared" si="43"/>
        <v>0.99835255354200991</v>
      </c>
      <c r="G81" s="80">
        <f t="shared" si="43"/>
        <v>0.9948320413436692</v>
      </c>
      <c r="H81" s="80">
        <f t="shared" si="43"/>
        <v>0.99724770642201832</v>
      </c>
      <c r="I81" s="13"/>
      <c r="J81" s="77"/>
    </row>
    <row r="82" spans="2:10" x14ac:dyDescent="0.25">
      <c r="B82" s="81" t="s">
        <v>126</v>
      </c>
      <c r="C82" s="82" t="s">
        <v>128</v>
      </c>
      <c r="D82" s="76">
        <f>SUM(D13,D16,D19,D22,D25,D28,D31,D34,D37,D40,D43,D46,D49,D52,D55,D58,D61,D64,D67,D70,D73,D76,D79)</f>
        <v>13586</v>
      </c>
      <c r="E82" s="76">
        <f t="shared" ref="E82:H82" si="44">SUM(E13,E16,E19,E22,E25,E28,E31,E34,E37,E40,E43,E46,E49,E52,E55,E58,E61,E64,E67,E70,E73,E76,E79)</f>
        <v>3186</v>
      </c>
      <c r="F82" s="76">
        <f t="shared" si="44"/>
        <v>68095</v>
      </c>
      <c r="G82" s="76">
        <f t="shared" si="44"/>
        <v>12984</v>
      </c>
      <c r="H82" s="76">
        <f t="shared" si="44"/>
        <v>97851</v>
      </c>
      <c r="I82" s="13"/>
      <c r="J82" s="77"/>
    </row>
    <row r="83" spans="2:10" x14ac:dyDescent="0.25">
      <c r="B83" s="81"/>
      <c r="C83" s="82" t="s">
        <v>129</v>
      </c>
      <c r="D83" s="76">
        <f t="shared" ref="D83:H83" si="45">SUM(D14,D17,D20,D23,D26,D29,D32,D35,D38,D41,D44,D47,D50,D53,D56,D59,D62,D65,D68,D71,D74,D77,D80)</f>
        <v>14619</v>
      </c>
      <c r="E83" s="76">
        <f t="shared" si="45"/>
        <v>3399</v>
      </c>
      <c r="F83" s="76">
        <f t="shared" si="45"/>
        <v>72162</v>
      </c>
      <c r="G83" s="76">
        <f t="shared" si="45"/>
        <v>13205</v>
      </c>
      <c r="H83" s="76">
        <f t="shared" si="45"/>
        <v>103385</v>
      </c>
      <c r="I83" s="13"/>
      <c r="J83" s="77"/>
    </row>
    <row r="84" spans="2:10" x14ac:dyDescent="0.25">
      <c r="B84" s="81"/>
      <c r="C84" s="82" t="s">
        <v>130</v>
      </c>
      <c r="D84" s="83">
        <f>IFERROR((D82/D83),0)</f>
        <v>0.92933853204733563</v>
      </c>
      <c r="E84" s="83">
        <f t="shared" ref="E84:H84" si="46">IFERROR((E82/E83),0)</f>
        <v>0.9373345101500441</v>
      </c>
      <c r="F84" s="83">
        <f t="shared" si="46"/>
        <v>0.94364069731991906</v>
      </c>
      <c r="G84" s="83">
        <f t="shared" si="46"/>
        <v>0.98326391518364253</v>
      </c>
      <c r="H84" s="83">
        <f t="shared" si="46"/>
        <v>0.94647192532765878</v>
      </c>
      <c r="I84" s="13"/>
      <c r="J84" s="77"/>
    </row>
  </sheetData>
  <mergeCells count="10">
    <mergeCell ref="C10:F10"/>
    <mergeCell ref="I10:L10"/>
    <mergeCell ref="B12:C12"/>
    <mergeCell ref="B82:B84"/>
    <mergeCell ref="B2:H2"/>
    <mergeCell ref="B3:H3"/>
    <mergeCell ref="I3:M3"/>
    <mergeCell ref="B4:H4"/>
    <mergeCell ref="I4:M4"/>
    <mergeCell ref="C9:F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C473C-04DF-48BD-89B7-433A59E34BF9}">
  <dimension ref="B2:E37"/>
  <sheetViews>
    <sheetView showGridLines="0" tabSelected="1" zoomScale="85" zoomScaleNormal="85" workbookViewId="0">
      <selection activeCell="J16" sqref="J16"/>
    </sheetView>
  </sheetViews>
  <sheetFormatPr baseColWidth="10" defaultColWidth="9.140625" defaultRowHeight="12" x14ac:dyDescent="0.2"/>
  <cols>
    <col min="1" max="1" width="5.28515625" style="84" customWidth="1"/>
    <col min="2" max="2" width="20.85546875" style="84" bestFit="1" customWidth="1"/>
    <col min="3" max="3" width="26.5703125" style="84" customWidth="1"/>
    <col min="4" max="4" width="20.7109375" style="84" customWidth="1"/>
    <col min="5" max="5" width="13.7109375" style="84" customWidth="1"/>
    <col min="6" max="16384" width="9.140625" style="84"/>
  </cols>
  <sheetData>
    <row r="2" spans="2:5" ht="15" x14ac:dyDescent="0.25">
      <c r="B2" s="48" t="s">
        <v>139</v>
      </c>
      <c r="C2" s="48"/>
      <c r="D2" s="48"/>
      <c r="E2" s="48"/>
    </row>
    <row r="3" spans="2:5" ht="15" x14ac:dyDescent="0.2">
      <c r="B3" s="53" t="s">
        <v>140</v>
      </c>
      <c r="C3" s="53"/>
      <c r="D3" s="53"/>
      <c r="E3" s="53"/>
    </row>
    <row r="4" spans="2:5" ht="15" x14ac:dyDescent="0.25">
      <c r="B4" s="48" t="s">
        <v>2</v>
      </c>
      <c r="C4" s="48"/>
      <c r="D4" s="48"/>
      <c r="E4" s="48"/>
    </row>
    <row r="6" spans="2:5" ht="15" x14ac:dyDescent="0.25">
      <c r="B6" t="s">
        <v>3</v>
      </c>
      <c r="C6" t="s">
        <v>4</v>
      </c>
    </row>
    <row r="7" spans="2:5" ht="15" x14ac:dyDescent="0.25">
      <c r="B7" t="s">
        <v>5</v>
      </c>
      <c r="C7" s="6">
        <f>'[2]Anexo G (TEAP)'!$C$7</f>
        <v>2022</v>
      </c>
    </row>
    <row r="8" spans="2:5" ht="15" x14ac:dyDescent="0.25">
      <c r="B8" t="s">
        <v>6</v>
      </c>
      <c r="C8" t="str">
        <f>'[2]Anexo G (TEAP)'!$C$8</f>
        <v>Junio</v>
      </c>
    </row>
    <row r="9" spans="2:5" ht="15" x14ac:dyDescent="0.25">
      <c r="B9" t="s">
        <v>7</v>
      </c>
      <c r="C9" t="s">
        <v>141</v>
      </c>
    </row>
    <row r="10" spans="2:5" ht="15" x14ac:dyDescent="0.25">
      <c r="B10" s="6" t="s">
        <v>9</v>
      </c>
      <c r="C10" s="50" t="s">
        <v>142</v>
      </c>
      <c r="D10" s="50"/>
      <c r="E10" s="50"/>
    </row>
    <row r="11" spans="2:5" x14ac:dyDescent="0.2">
      <c r="C11" s="50"/>
      <c r="D11" s="50"/>
      <c r="E11" s="50"/>
    </row>
    <row r="13" spans="2:5" ht="43.5" customHeight="1" x14ac:dyDescent="0.2">
      <c r="B13" s="85" t="s">
        <v>90</v>
      </c>
      <c r="C13" s="86" t="s">
        <v>143</v>
      </c>
      <c r="D13" s="86" t="s">
        <v>144</v>
      </c>
      <c r="E13" s="85" t="s">
        <v>145</v>
      </c>
    </row>
    <row r="14" spans="2:5" x14ac:dyDescent="0.2">
      <c r="B14" s="87" t="s">
        <v>127</v>
      </c>
      <c r="C14" s="88">
        <f>IFERROR(VLOOKUP(B14,[1]_3TOsiptel!$B:$G,6,0),0)</f>
        <v>122</v>
      </c>
      <c r="D14" s="88">
        <f>IFERROR(VLOOKUP(B14,[1]_1TOsipte!$B:$G,6,0),0)</f>
        <v>4795</v>
      </c>
      <c r="E14" s="89">
        <f t="shared" ref="E14:E36" si="0">IFERROR((C14/D14),0)</f>
        <v>2.5443169968717413E-2</v>
      </c>
    </row>
    <row r="15" spans="2:5" x14ac:dyDescent="0.2">
      <c r="B15" s="87" t="s">
        <v>131</v>
      </c>
      <c r="C15" s="88">
        <f>IFERROR(VLOOKUP(B15,[1]_3TOsiptel!$B:$G,6,0),0)</f>
        <v>44</v>
      </c>
      <c r="D15" s="88">
        <f>IFERROR(VLOOKUP(B15,[1]_1TOsipte!$B:$G,6,0),0)</f>
        <v>2573</v>
      </c>
      <c r="E15" s="89">
        <f t="shared" si="0"/>
        <v>1.7100660707345512E-2</v>
      </c>
    </row>
    <row r="16" spans="2:5" x14ac:dyDescent="0.2">
      <c r="B16" s="87" t="s">
        <v>132</v>
      </c>
      <c r="C16" s="88">
        <f>IFERROR(VLOOKUP(B16,[1]_3TOsiptel!$B:$G,6,0),0)</f>
        <v>145</v>
      </c>
      <c r="D16" s="88">
        <f>IFERROR(VLOOKUP(B16,[1]_1TOsipte!$B:$G,6,0),0)</f>
        <v>6522</v>
      </c>
      <c r="E16" s="89">
        <f t="shared" si="0"/>
        <v>2.2232444035571911E-2</v>
      </c>
    </row>
    <row r="17" spans="2:5" x14ac:dyDescent="0.2">
      <c r="B17" s="87" t="s">
        <v>105</v>
      </c>
      <c r="C17" s="88">
        <f>IFERROR(VLOOKUP(B17,[1]_3TOsiptel!$B:$G,6,0),0)</f>
        <v>25</v>
      </c>
      <c r="D17" s="88">
        <f>IFERROR(VLOOKUP(B17,[1]_1TOsipte!$B:$G,6,0),0)</f>
        <v>1589</v>
      </c>
      <c r="E17" s="89">
        <f t="shared" si="0"/>
        <v>1.5733165512901194E-2</v>
      </c>
    </row>
    <row r="18" spans="2:5" x14ac:dyDescent="0.2">
      <c r="B18" s="87" t="s">
        <v>133</v>
      </c>
      <c r="C18" s="88">
        <f>IFERROR(VLOOKUP(B18,[1]_3TOsiptel!$B:$G,6,0),0)</f>
        <v>72</v>
      </c>
      <c r="D18" s="88">
        <f>IFERROR(VLOOKUP(B18,[1]_1TOsipte!$B:$G,6,0),0)</f>
        <v>5242</v>
      </c>
      <c r="E18" s="89">
        <f t="shared" si="0"/>
        <v>1.3735215566577643E-2</v>
      </c>
    </row>
    <row r="19" spans="2:5" x14ac:dyDescent="0.2">
      <c r="B19" s="87" t="s">
        <v>134</v>
      </c>
      <c r="C19" s="88">
        <f>IFERROR(VLOOKUP(B19,[1]_3TOsiptel!$B:$G,6,0),0)</f>
        <v>44</v>
      </c>
      <c r="D19" s="88">
        <f>IFERROR(VLOOKUP(B19,[1]_1TOsipte!$B:$G,6,0),0)</f>
        <v>3494</v>
      </c>
      <c r="E19" s="89">
        <f t="shared" si="0"/>
        <v>1.2593016599885518E-2</v>
      </c>
    </row>
    <row r="20" spans="2:5" x14ac:dyDescent="0.2">
      <c r="B20" s="87" t="s">
        <v>135</v>
      </c>
      <c r="C20" s="88">
        <f>IFERROR(VLOOKUP(B20,[1]_3TOsiptel!$B:$G,6,0),0)</f>
        <v>37</v>
      </c>
      <c r="D20" s="88">
        <f>IFERROR(VLOOKUP(B20,[1]_1TOsipte!$B:$G,6,0),0)</f>
        <v>4224</v>
      </c>
      <c r="E20" s="89">
        <f t="shared" si="0"/>
        <v>8.7594696969696961E-3</v>
      </c>
    </row>
    <row r="21" spans="2:5" x14ac:dyDescent="0.2">
      <c r="B21" s="87" t="s">
        <v>136</v>
      </c>
      <c r="C21" s="88">
        <f>IFERROR(VLOOKUP(B21,[1]_3TOsiptel!$B:$G,6,0),0)</f>
        <v>42</v>
      </c>
      <c r="D21" s="88">
        <f>IFERROR(VLOOKUP(B21,[1]_1TOsipte!$B:$G,6,0),0)</f>
        <v>3877</v>
      </c>
      <c r="E21" s="89">
        <f t="shared" si="0"/>
        <v>1.0833118390508125E-2</v>
      </c>
    </row>
    <row r="22" spans="2:5" x14ac:dyDescent="0.2">
      <c r="B22" s="87" t="s">
        <v>137</v>
      </c>
      <c r="C22" s="88">
        <f>IFERROR(VLOOKUP(B22,[1]_3TOsiptel!$B:$G,6,0),0)</f>
        <v>50</v>
      </c>
      <c r="D22" s="88">
        <f>IFERROR(VLOOKUP(B22,[1]_1TOsipte!$B:$G,6,0),0)</f>
        <v>2738</v>
      </c>
      <c r="E22" s="89">
        <f t="shared" si="0"/>
        <v>1.8261504747991233E-2</v>
      </c>
    </row>
    <row r="23" spans="2:5" x14ac:dyDescent="0.2">
      <c r="B23" s="87" t="s">
        <v>138</v>
      </c>
      <c r="C23" s="88">
        <f>IFERROR(VLOOKUP(B23,[1]_3TOsiptel!$B:$G,6,0),0)</f>
        <v>92</v>
      </c>
      <c r="D23" s="88">
        <f>IFERROR(VLOOKUP(B23,[1]_1TOsipte!$B:$G,6,0),0)</f>
        <v>4947</v>
      </c>
      <c r="E23" s="89">
        <f t="shared" si="0"/>
        <v>1.8597129573478876E-2</v>
      </c>
    </row>
    <row r="24" spans="2:5" x14ac:dyDescent="0.2">
      <c r="B24" s="87" t="s">
        <v>103</v>
      </c>
      <c r="C24" s="88">
        <f>IFERROR(VLOOKUP(B24,[1]_3TOsiptel!$B:$G,6,0),0)</f>
        <v>50</v>
      </c>
      <c r="D24" s="88">
        <f>IFERROR(VLOOKUP(B24,[1]_1TOsipte!$B:$G,6,0),0)</f>
        <v>5465</v>
      </c>
      <c r="E24" s="89">
        <f t="shared" si="0"/>
        <v>9.1491308325709064E-3</v>
      </c>
    </row>
    <row r="25" spans="2:5" x14ac:dyDescent="0.2">
      <c r="B25" s="87" t="s">
        <v>104</v>
      </c>
      <c r="C25" s="88">
        <f>IFERROR(VLOOKUP(B25,[1]_3TOsiptel!$B:$G,6,0),0)</f>
        <v>57</v>
      </c>
      <c r="D25" s="88">
        <f>IFERROR(VLOOKUP(B25,[1]_1TOsipte!$B:$G,6,0),0)</f>
        <v>4855</v>
      </c>
      <c r="E25" s="89">
        <f t="shared" si="0"/>
        <v>1.1740473738414007E-2</v>
      </c>
    </row>
    <row r="26" spans="2:5" x14ac:dyDescent="0.2">
      <c r="B26" s="87" t="s">
        <v>106</v>
      </c>
      <c r="C26" s="88">
        <f>IFERROR(VLOOKUP(B26,[1]_3TOsiptel!$B:$G,6,0),0)</f>
        <v>31</v>
      </c>
      <c r="D26" s="88">
        <f>IFERROR(VLOOKUP(B26,[1]_1TOsipte!$B:$G,6,0),0)</f>
        <v>2540</v>
      </c>
      <c r="E26" s="89">
        <f t="shared" si="0"/>
        <v>1.2204724409448819E-2</v>
      </c>
    </row>
    <row r="27" spans="2:5" x14ac:dyDescent="0.2">
      <c r="B27" s="87" t="s">
        <v>107</v>
      </c>
      <c r="C27" s="88">
        <f>IFERROR(VLOOKUP(B27,[1]_3TOsiptel!$B:$G,6,0),0)</f>
        <v>16</v>
      </c>
      <c r="D27" s="88">
        <f>IFERROR(VLOOKUP(B27,[1]_1TOsipte!$B:$G,6,0),0)</f>
        <v>860</v>
      </c>
      <c r="E27" s="89">
        <f t="shared" si="0"/>
        <v>1.8604651162790697E-2</v>
      </c>
    </row>
    <row r="28" spans="2:5" x14ac:dyDescent="0.2">
      <c r="B28" s="87" t="s">
        <v>108</v>
      </c>
      <c r="C28" s="88">
        <f>IFERROR(VLOOKUP(B28,[1]_3TOsiptel!$B:$G,6,0),0)</f>
        <v>74</v>
      </c>
      <c r="D28" s="88">
        <f>IFERROR(VLOOKUP(B28,[1]_1TOsipte!$B:$G,6,0),0)</f>
        <v>5338</v>
      </c>
      <c r="E28" s="89">
        <f t="shared" si="0"/>
        <v>1.3862869988759834E-2</v>
      </c>
    </row>
    <row r="29" spans="2:5" x14ac:dyDescent="0.2">
      <c r="B29" s="87" t="s">
        <v>109</v>
      </c>
      <c r="C29" s="88">
        <f>IFERROR(VLOOKUP(B29,[1]_3TOsiptel!$B:$G,6,0),0)</f>
        <v>207</v>
      </c>
      <c r="D29" s="88">
        <f>IFERROR(VLOOKUP(B29,[1]_1TOsipte!$B:$G,6,0),0)</f>
        <v>13286</v>
      </c>
      <c r="E29" s="89">
        <f t="shared" si="0"/>
        <v>1.5580310100858046E-2</v>
      </c>
    </row>
    <row r="30" spans="2:5" x14ac:dyDescent="0.2">
      <c r="B30" s="87" t="s">
        <v>110</v>
      </c>
      <c r="C30" s="88">
        <f>IFERROR(VLOOKUP(B30,[1]_3TOsiptel!$B:$G,6,0),0)</f>
        <v>122</v>
      </c>
      <c r="D30" s="88">
        <f>IFERROR(VLOOKUP(B30,[1]_1TOsipte!$B:$G,6,0),0)</f>
        <v>6412</v>
      </c>
      <c r="E30" s="89">
        <f t="shared" si="0"/>
        <v>1.9026824703680598E-2</v>
      </c>
    </row>
    <row r="31" spans="2:5" x14ac:dyDescent="0.2">
      <c r="B31" s="87" t="s">
        <v>111</v>
      </c>
      <c r="C31" s="88">
        <f>IFERROR(VLOOKUP(B31,[1]_3TOsiptel!$B:$G,6,0),0)</f>
        <v>33</v>
      </c>
      <c r="D31" s="88">
        <f>IFERROR(VLOOKUP(B31,[1]_1TOsipte!$B:$G,6,0),0)</f>
        <v>4205</v>
      </c>
      <c r="E31" s="89">
        <f t="shared" si="0"/>
        <v>7.8478002378121279E-3</v>
      </c>
    </row>
    <row r="32" spans="2:5" x14ac:dyDescent="0.2">
      <c r="B32" s="87" t="s">
        <v>112</v>
      </c>
      <c r="C32" s="88">
        <f>IFERROR(VLOOKUP(B32,[1]_3TOsiptel!$B:$G,6,0),0)</f>
        <v>258</v>
      </c>
      <c r="D32" s="88">
        <f>IFERROR(VLOOKUP(B32,[1]_1TOsipte!$B:$G,6,0),0)</f>
        <v>8362</v>
      </c>
      <c r="E32" s="89">
        <f t="shared" si="0"/>
        <v>3.0853862712269791E-2</v>
      </c>
    </row>
    <row r="33" spans="2:5" x14ac:dyDescent="0.2">
      <c r="B33" s="87" t="s">
        <v>113</v>
      </c>
      <c r="C33" s="88">
        <f>IFERROR(VLOOKUP(B33,[1]_3TOsiptel!$B:$G,6,0),0)</f>
        <v>75</v>
      </c>
      <c r="D33" s="88">
        <f>IFERROR(VLOOKUP(B33,[1]_1TOsipte!$B:$G,6,0),0)</f>
        <v>7941</v>
      </c>
      <c r="E33" s="89">
        <f t="shared" si="0"/>
        <v>9.4446543256516812E-3</v>
      </c>
    </row>
    <row r="34" spans="2:5" x14ac:dyDescent="0.2">
      <c r="B34" s="87" t="s">
        <v>114</v>
      </c>
      <c r="C34" s="88">
        <f>IFERROR(VLOOKUP(B34,[1]_3TOsiptel!$B:$G,6,0),0)</f>
        <v>41</v>
      </c>
      <c r="D34" s="88">
        <f>IFERROR(VLOOKUP(B34,[1]_1TOsipte!$B:$G,6,0),0)</f>
        <v>1948</v>
      </c>
      <c r="E34" s="89">
        <f t="shared" si="0"/>
        <v>2.1047227926078028E-2</v>
      </c>
    </row>
    <row r="35" spans="2:5" x14ac:dyDescent="0.2">
      <c r="B35" s="87" t="s">
        <v>115</v>
      </c>
      <c r="C35" s="88">
        <f>IFERROR(VLOOKUP(B35,[1]_3TOsiptel!$B:$G,6,0),0)</f>
        <v>15</v>
      </c>
      <c r="D35" s="88">
        <f>IFERROR(VLOOKUP(B35,[1]_1TOsipte!$B:$G,6,0),0)</f>
        <v>1082</v>
      </c>
      <c r="E35" s="89">
        <f t="shared" si="0"/>
        <v>1.3863216266173753E-2</v>
      </c>
    </row>
    <row r="36" spans="2:5" x14ac:dyDescent="0.2">
      <c r="B36" s="87" t="s">
        <v>116</v>
      </c>
      <c r="C36" s="88">
        <f>IFERROR(VLOOKUP(B36,[1]_3TOsiptel!$B:$G,6,0),0)</f>
        <v>44</v>
      </c>
      <c r="D36" s="88">
        <f>IFERROR(VLOOKUP(B36,[1]_1TOsipte!$B:$G,6,0),0)</f>
        <v>1090</v>
      </c>
      <c r="E36" s="89">
        <f t="shared" si="0"/>
        <v>4.0366972477064222E-2</v>
      </c>
    </row>
    <row r="37" spans="2:5" x14ac:dyDescent="0.2">
      <c r="B37" s="90"/>
      <c r="C37" s="91">
        <f>SUM(C14:C36)</f>
        <v>1696</v>
      </c>
      <c r="D37" s="91">
        <f>SUM(D14:D36)</f>
        <v>103385</v>
      </c>
      <c r="E37" s="92">
        <f>IFERROR((C37/D37),0)</f>
        <v>1.6404700875368768E-2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23"/>
  <sheetViews>
    <sheetView showGridLines="0" zoomScale="85" zoomScaleNormal="85" workbookViewId="0">
      <selection activeCell="D22" sqref="D22"/>
    </sheetView>
  </sheetViews>
  <sheetFormatPr baseColWidth="10" defaultColWidth="9.140625" defaultRowHeight="15" x14ac:dyDescent="0.25"/>
  <cols>
    <col min="1" max="1" width="4.42578125" customWidth="1"/>
    <col min="2" max="2" width="21" customWidth="1"/>
    <col min="3" max="3" width="31.140625" customWidth="1"/>
    <col min="4" max="4" width="24.140625" customWidth="1"/>
    <col min="5" max="5" width="22.140625" customWidth="1"/>
  </cols>
  <sheetData>
    <row r="2" spans="2:5" x14ac:dyDescent="0.25">
      <c r="B2" s="48" t="s">
        <v>0</v>
      </c>
      <c r="C2" s="48"/>
      <c r="D2" s="48"/>
      <c r="E2" s="48"/>
    </row>
    <row r="3" spans="2:5" ht="15" customHeight="1" x14ac:dyDescent="0.25">
      <c r="B3" s="49" t="s">
        <v>1</v>
      </c>
      <c r="C3" s="49"/>
      <c r="D3" s="49"/>
      <c r="E3" s="49"/>
    </row>
    <row r="4" spans="2:5" x14ac:dyDescent="0.25">
      <c r="B4" s="48" t="s">
        <v>2</v>
      </c>
      <c r="C4" s="48"/>
      <c r="D4" s="48"/>
      <c r="E4" s="48"/>
    </row>
    <row r="6" spans="2:5" x14ac:dyDescent="0.25">
      <c r="B6" t="s">
        <v>3</v>
      </c>
      <c r="C6" t="s">
        <v>4</v>
      </c>
      <c r="D6" s="6"/>
    </row>
    <row r="7" spans="2:5" x14ac:dyDescent="0.25">
      <c r="B7" t="s">
        <v>5</v>
      </c>
      <c r="C7" s="6" t="str">
        <f>TEXT('Per + Emp'!B2,"YYYY")</f>
        <v>2022</v>
      </c>
      <c r="D7" s="6"/>
    </row>
    <row r="8" spans="2:5" x14ac:dyDescent="0.25">
      <c r="B8" t="s">
        <v>6</v>
      </c>
      <c r="C8" t="str">
        <f>TEXT('Per + Emp'!B2,"mmmm")</f>
        <v>Junio</v>
      </c>
      <c r="D8" s="6"/>
    </row>
    <row r="9" spans="2:5" ht="15" customHeight="1" x14ac:dyDescent="0.25">
      <c r="B9" t="s">
        <v>7</v>
      </c>
      <c r="C9" s="51" t="s">
        <v>8</v>
      </c>
      <c r="D9" s="51"/>
      <c r="E9" s="51"/>
    </row>
    <row r="10" spans="2:5" ht="15" customHeight="1" x14ac:dyDescent="0.25">
      <c r="B10" t="s">
        <v>9</v>
      </c>
      <c r="C10" s="50" t="s">
        <v>10</v>
      </c>
      <c r="D10" s="50"/>
      <c r="E10" s="50"/>
    </row>
    <row r="11" spans="2:5" x14ac:dyDescent="0.25">
      <c r="C11" s="50"/>
      <c r="D11" s="50"/>
      <c r="E11" s="50"/>
    </row>
    <row r="13" spans="2:5" ht="30" x14ac:dyDescent="0.25">
      <c r="B13" s="18" t="s">
        <v>11</v>
      </c>
      <c r="C13" s="7" t="s">
        <v>12</v>
      </c>
      <c r="D13" s="7" t="s">
        <v>13</v>
      </c>
      <c r="E13" s="2" t="s">
        <v>14</v>
      </c>
    </row>
    <row r="14" spans="2:5" x14ac:dyDescent="0.25">
      <c r="B14" s="12" t="s">
        <v>15</v>
      </c>
      <c r="C14" s="14">
        <f>'Per + Emp'!E15</f>
        <v>246</v>
      </c>
      <c r="D14" s="14">
        <f>'Per + Emp'!C15</f>
        <v>4128</v>
      </c>
      <c r="E14" s="19">
        <f>IFERROR(C14/D14,"")</f>
        <v>5.9593023255813955E-2</v>
      </c>
    </row>
    <row r="15" spans="2:5" x14ac:dyDescent="0.25">
      <c r="B15" s="12" t="s">
        <v>16</v>
      </c>
      <c r="C15" s="14">
        <f>'Per + Emp'!E16</f>
        <v>553</v>
      </c>
      <c r="D15" s="24">
        <f>'Per + Emp'!C16</f>
        <v>23090</v>
      </c>
      <c r="E15" s="19">
        <f>IFERROR(C15/D15,"")</f>
        <v>2.3949761801645732E-2</v>
      </c>
    </row>
    <row r="16" spans="2:5" x14ac:dyDescent="0.25">
      <c r="B16" s="12" t="s">
        <v>17</v>
      </c>
      <c r="C16" s="14">
        <f>'Per + Emp'!E17</f>
        <v>48807</v>
      </c>
      <c r="D16" s="24">
        <f>'Per + Emp'!C17</f>
        <v>943031</v>
      </c>
      <c r="E16" s="19">
        <f>IFERROR(C16/D16,"")</f>
        <v>5.1755456607471016E-2</v>
      </c>
    </row>
    <row r="17" spans="2:10" x14ac:dyDescent="0.25">
      <c r="B17" s="3" t="s">
        <v>18</v>
      </c>
      <c r="C17" s="21">
        <f>SUM(C14:C16)</f>
        <v>49606</v>
      </c>
      <c r="D17" s="21">
        <f>SUM(D14:D16)</f>
        <v>970249</v>
      </c>
      <c r="E17" s="22">
        <f>IFERROR(C17/D17,0)</f>
        <v>5.1127081810957806E-2</v>
      </c>
      <c r="I17" s="26"/>
      <c r="J17" s="26"/>
    </row>
    <row r="18" spans="2:10" x14ac:dyDescent="0.25">
      <c r="J18" s="26"/>
    </row>
    <row r="19" spans="2:10" x14ac:dyDescent="0.25">
      <c r="C19" s="20"/>
      <c r="F19" t="s">
        <v>19</v>
      </c>
    </row>
    <row r="20" spans="2:10" x14ac:dyDescent="0.25">
      <c r="C20" s="20"/>
      <c r="D20" s="23"/>
    </row>
    <row r="21" spans="2:10" x14ac:dyDescent="0.25">
      <c r="D21" s="23"/>
      <c r="E21" t="s">
        <v>19</v>
      </c>
    </row>
    <row r="22" spans="2:10" x14ac:dyDescent="0.25">
      <c r="D22" s="23"/>
    </row>
    <row r="23" spans="2:10" x14ac:dyDescent="0.25">
      <c r="D23" s="23"/>
    </row>
  </sheetData>
  <mergeCells count="5">
    <mergeCell ref="B2:E2"/>
    <mergeCell ref="B3:E3"/>
    <mergeCell ref="B4:E4"/>
    <mergeCell ref="C10:E11"/>
    <mergeCell ref="C9:E9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87647-0612-4D02-9653-C2E4A8B5266A}">
  <dimension ref="B2:I23"/>
  <sheetViews>
    <sheetView showGridLines="0" topLeftCell="A4" zoomScale="85" zoomScaleNormal="85" workbookViewId="0">
      <selection activeCell="D22" sqref="D22"/>
    </sheetView>
  </sheetViews>
  <sheetFormatPr baseColWidth="10" defaultColWidth="9.140625" defaultRowHeight="15" x14ac:dyDescent="0.25"/>
  <cols>
    <col min="1" max="1" width="4.42578125" customWidth="1"/>
    <col min="2" max="2" width="28.7109375" customWidth="1"/>
    <col min="3" max="3" width="46.85546875" customWidth="1"/>
    <col min="4" max="4" width="35.28515625" customWidth="1"/>
    <col min="5" max="5" width="14.140625" customWidth="1"/>
  </cols>
  <sheetData>
    <row r="2" spans="2:9" x14ac:dyDescent="0.25">
      <c r="B2" s="48" t="s">
        <v>20</v>
      </c>
      <c r="C2" s="48"/>
      <c r="D2" s="48"/>
      <c r="E2" s="48"/>
    </row>
    <row r="3" spans="2:9" ht="15" customHeight="1" x14ac:dyDescent="0.25">
      <c r="B3" s="49" t="s">
        <v>21</v>
      </c>
      <c r="C3" s="49"/>
      <c r="D3" s="49"/>
      <c r="E3" s="49"/>
    </row>
    <row r="4" spans="2:9" x14ac:dyDescent="0.25">
      <c r="B4" s="48" t="s">
        <v>2</v>
      </c>
      <c r="C4" s="48"/>
      <c r="D4" s="48"/>
      <c r="E4" s="48"/>
    </row>
    <row r="5" spans="2:9" x14ac:dyDescent="0.25">
      <c r="B5" s="25"/>
      <c r="C5" s="25"/>
      <c r="D5" s="25"/>
      <c r="E5" s="25"/>
    </row>
    <row r="6" spans="2:9" x14ac:dyDescent="0.25">
      <c r="B6" t="s">
        <v>3</v>
      </c>
      <c r="C6" t="s">
        <v>4</v>
      </c>
    </row>
    <row r="7" spans="2:9" x14ac:dyDescent="0.25">
      <c r="B7" t="s">
        <v>5</v>
      </c>
      <c r="C7" s="6">
        <v>2022</v>
      </c>
    </row>
    <row r="8" spans="2:9" x14ac:dyDescent="0.25">
      <c r="B8" t="s">
        <v>6</v>
      </c>
      <c r="C8" t="str">
        <f>'Anexo I (CAT)'!C8</f>
        <v>Junio</v>
      </c>
    </row>
    <row r="9" spans="2:9" ht="15" customHeight="1" x14ac:dyDescent="0.25">
      <c r="B9" t="s">
        <v>7</v>
      </c>
      <c r="C9" s="1" t="s">
        <v>22</v>
      </c>
      <c r="D9" s="1"/>
    </row>
    <row r="10" spans="2:9" ht="15.75" customHeight="1" x14ac:dyDescent="0.25">
      <c r="B10" t="s">
        <v>9</v>
      </c>
      <c r="C10" s="50" t="s">
        <v>23</v>
      </c>
      <c r="D10" s="50"/>
      <c r="E10" s="50"/>
    </row>
    <row r="12" spans="2:9" ht="56.25" customHeight="1" x14ac:dyDescent="0.25">
      <c r="B12" s="9" t="s">
        <v>24</v>
      </c>
      <c r="C12" s="10" t="s">
        <v>25</v>
      </c>
      <c r="D12" s="10" t="s">
        <v>26</v>
      </c>
      <c r="E12" s="9" t="s">
        <v>27</v>
      </c>
      <c r="F12" s="11"/>
    </row>
    <row r="13" spans="2:9" x14ac:dyDescent="0.25">
      <c r="B13" s="12">
        <v>123</v>
      </c>
      <c r="C13" s="14">
        <f>'Per + Emp'!F17</f>
        <v>1457222</v>
      </c>
      <c r="D13" s="14">
        <f>'Per + Emp'!F17</f>
        <v>1457222</v>
      </c>
      <c r="E13" s="17">
        <f>C13/D13</f>
        <v>1</v>
      </c>
      <c r="I13" s="15"/>
    </row>
    <row r="14" spans="2:9" x14ac:dyDescent="0.25">
      <c r="B14" s="16">
        <v>102</v>
      </c>
      <c r="C14" s="14">
        <f>'Per + Emp'!F15</f>
        <v>6066</v>
      </c>
      <c r="D14" s="14">
        <f>'Per + Emp'!F15</f>
        <v>6066</v>
      </c>
      <c r="E14" s="17">
        <f t="shared" ref="E14:E15" si="0">C14/D14</f>
        <v>1</v>
      </c>
      <c r="I14" s="15"/>
    </row>
    <row r="15" spans="2:9" x14ac:dyDescent="0.25">
      <c r="B15" s="16">
        <v>103</v>
      </c>
      <c r="C15" s="14">
        <f>'Per + Emp'!F16</f>
        <v>24496</v>
      </c>
      <c r="D15" s="14">
        <f>'Per + Emp'!F16</f>
        <v>24496</v>
      </c>
      <c r="E15" s="17">
        <f t="shared" si="0"/>
        <v>1</v>
      </c>
      <c r="I15" s="15"/>
    </row>
    <row r="16" spans="2:9" ht="48.75" customHeight="1" x14ac:dyDescent="0.25">
      <c r="B16" s="4" t="s">
        <v>28</v>
      </c>
      <c r="C16" s="5" t="s">
        <v>29</v>
      </c>
      <c r="D16" s="10" t="s">
        <v>30</v>
      </c>
      <c r="E16" s="4" t="s">
        <v>31</v>
      </c>
    </row>
    <row r="17" spans="2:5" x14ac:dyDescent="0.25">
      <c r="B17" s="12">
        <v>123</v>
      </c>
      <c r="C17" s="14">
        <f>'Per + Emp'!D17</f>
        <v>792788</v>
      </c>
      <c r="D17" s="14">
        <f>'Per + Emp'!C17</f>
        <v>943031</v>
      </c>
      <c r="E17" s="17">
        <f>+C17/D17</f>
        <v>0.84068074114212576</v>
      </c>
    </row>
    <row r="18" spans="2:5" x14ac:dyDescent="0.25">
      <c r="B18" s="16">
        <v>102</v>
      </c>
      <c r="C18" s="14">
        <f>'Per + Emp'!D15</f>
        <v>3695</v>
      </c>
      <c r="D18" s="14">
        <f>'Per + Emp'!C15</f>
        <v>4128</v>
      </c>
      <c r="E18" s="17">
        <f>+C18/D18</f>
        <v>0.8951065891472868</v>
      </c>
    </row>
    <row r="19" spans="2:5" x14ac:dyDescent="0.25">
      <c r="B19" s="12">
        <v>103</v>
      </c>
      <c r="C19" s="14">
        <f>'Per + Emp'!D16</f>
        <v>22438</v>
      </c>
      <c r="D19" s="14">
        <f>'Per + Emp'!C16</f>
        <v>23090</v>
      </c>
      <c r="E19" s="17">
        <f>+C19/D19</f>
        <v>0.97176266782156773</v>
      </c>
    </row>
    <row r="20" spans="2:5" x14ac:dyDescent="0.25">
      <c r="C20" s="40"/>
      <c r="D20" s="40"/>
      <c r="E20" s="43"/>
    </row>
    <row r="22" spans="2:5" x14ac:dyDescent="0.25">
      <c r="B22" s="8" t="s">
        <v>32</v>
      </c>
      <c r="C22" s="8"/>
      <c r="D22" s="8"/>
      <c r="E22" s="8"/>
    </row>
    <row r="23" spans="2:5" x14ac:dyDescent="0.25">
      <c r="B23" s="8"/>
      <c r="C23" s="8"/>
      <c r="D23" s="8"/>
      <c r="E23" s="8"/>
    </row>
  </sheetData>
  <mergeCells count="4">
    <mergeCell ref="B2:E2"/>
    <mergeCell ref="B4:E4"/>
    <mergeCell ref="C10:E10"/>
    <mergeCell ref="B3:E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A0173-0A08-4048-BD47-0C49081F6752}">
  <sheetPr>
    <tabColor rgb="FFFF0000"/>
  </sheetPr>
  <dimension ref="B2:G19"/>
  <sheetViews>
    <sheetView showGridLines="0" workbookViewId="0">
      <selection activeCell="J12" sqref="J12"/>
    </sheetView>
  </sheetViews>
  <sheetFormatPr baseColWidth="10" defaultColWidth="11.42578125" defaultRowHeight="15" x14ac:dyDescent="0.25"/>
  <cols>
    <col min="1" max="1" width="3.85546875" customWidth="1"/>
    <col min="2" max="2" width="16.85546875" customWidth="1"/>
    <col min="3" max="6" width="16" customWidth="1"/>
  </cols>
  <sheetData>
    <row r="2" spans="2:7" x14ac:dyDescent="0.25">
      <c r="B2" s="38">
        <v>44713</v>
      </c>
    </row>
    <row r="3" spans="2:7" ht="29.25" customHeight="1" x14ac:dyDescent="0.25">
      <c r="B3" s="33" t="s">
        <v>33</v>
      </c>
      <c r="C3" s="34" t="s">
        <v>34</v>
      </c>
      <c r="D3" s="34" t="s">
        <v>35</v>
      </c>
      <c r="E3" s="34" t="s">
        <v>36</v>
      </c>
      <c r="F3" s="34" t="s">
        <v>37</v>
      </c>
    </row>
    <row r="4" spans="2:7" x14ac:dyDescent="0.25">
      <c r="B4" s="30" t="s">
        <v>38</v>
      </c>
      <c r="C4" s="28">
        <f t="shared" ref="C4" si="0">SUM(C5:C8)</f>
        <v>968361</v>
      </c>
      <c r="D4" s="28">
        <f t="shared" ref="D4" si="1">SUM(D5:D8)</f>
        <v>818073</v>
      </c>
      <c r="E4" s="28">
        <f>SUM(E5:E8)</f>
        <v>50343</v>
      </c>
      <c r="F4" s="28">
        <f t="shared" ref="F4" si="2">SUM(F5:F8)</f>
        <v>1450046</v>
      </c>
    </row>
    <row r="5" spans="2:7" x14ac:dyDescent="0.25">
      <c r="B5" s="31" t="s">
        <v>39</v>
      </c>
      <c r="C5" s="29">
        <f>VLOOKUP($B5,TAB_Personas!$B$2:$E$6,MATCH('Per + Emp'!C$3,TAB_Personas!$B$2:$E$2,0),0)</f>
        <v>4128</v>
      </c>
      <c r="D5" s="29">
        <f>VLOOKUP($B5,TAB_Personas!$B$2:$E$6,MATCH('Per + Emp'!D$3,TAB_Personas!$B$2:$E$2,0),0)</f>
        <v>3695</v>
      </c>
      <c r="E5" s="29">
        <f>VLOOKUP($B5,TAB_Personas!$B$2:$E$6,MATCH('Per + Emp'!E$3,TAB_Personas!$B$2:$E$2,0),0)</f>
        <v>246</v>
      </c>
      <c r="F5" s="29">
        <f>VLOOKUP($B5,TAB_Personas!$B$10:$C$14,MATCH('Per + Emp'!F$3,TAB_Personas!$B$10:$C$10,0),0)</f>
        <v>5723</v>
      </c>
    </row>
    <row r="6" spans="2:7" x14ac:dyDescent="0.25">
      <c r="B6" s="31" t="s">
        <v>40</v>
      </c>
      <c r="C6" s="29">
        <f>VLOOKUP($B6,TAB_Personas!$B$2:$E$6,MATCH('Per + Emp'!C$3,TAB_Personas!$B$2:$E$2,0),0)</f>
        <v>23090</v>
      </c>
      <c r="D6" s="29">
        <f>VLOOKUP($B6,TAB_Personas!$B$2:$E$6,MATCH('Per + Emp'!D$3,TAB_Personas!$B$2:$E$2,0),0)</f>
        <v>22438</v>
      </c>
      <c r="E6" s="29">
        <f>VLOOKUP($B6,TAB_Personas!$B$2:$E$6,MATCH('Per + Emp'!E$3,TAB_Personas!$B$2:$E$2,0),0)</f>
        <v>553</v>
      </c>
      <c r="F6" s="29">
        <f>VLOOKUP($B6,TAB_Personas!$B$10:$C$14,MATCH('Per + Emp'!F$3,TAB_Personas!$B$10:$C$10,0),0)</f>
        <v>24496</v>
      </c>
      <c r="G6" s="41"/>
    </row>
    <row r="7" spans="2:7" x14ac:dyDescent="0.25">
      <c r="B7" s="31" t="s">
        <v>41</v>
      </c>
      <c r="C7" s="29">
        <f>VLOOKUP($B7,TAB_Personas!$B$2:$E$6,MATCH('Per + Emp'!C$3,TAB_Personas!$B$2:$E$2,0),0)</f>
        <v>903147</v>
      </c>
      <c r="D7" s="29">
        <f>VLOOKUP($B7,TAB_Personas!$B$2:$E$6,MATCH('Per + Emp'!D$3,TAB_Personas!$B$2:$E$2,0),0)</f>
        <v>757033</v>
      </c>
      <c r="E7" s="29">
        <f>VLOOKUP($B7,TAB_Personas!$B$2:$E$6,MATCH('Per + Emp'!E$3,TAB_Personas!$B$2:$E$2,0),0)</f>
        <v>47228</v>
      </c>
      <c r="F7" s="29">
        <f>VLOOKUP($B7,TAB_Personas!$B$10:$C$14,MATCH('Per + Emp'!F$3,TAB_Personas!$B$10:$C$10,0),0)</f>
        <v>1398200</v>
      </c>
      <c r="G7" s="41"/>
    </row>
    <row r="8" spans="2:7" x14ac:dyDescent="0.25">
      <c r="B8" s="31" t="s">
        <v>42</v>
      </c>
      <c r="C8" s="29">
        <f>VLOOKUP($B8,TAB_Personas!$B$2:$E$6,MATCH('Per + Emp'!C$3,TAB_Personas!$B$2:$E$2,0),0)</f>
        <v>37996</v>
      </c>
      <c r="D8" s="29">
        <f>VLOOKUP($B8,TAB_Personas!$B$2:$E$6,MATCH('Per + Emp'!D$3,TAB_Personas!$B$2:$E$2,0),0)</f>
        <v>34907</v>
      </c>
      <c r="E8" s="29">
        <f>VLOOKUP($B8,TAB_Personas!$B$2:$E$6,MATCH('Per + Emp'!E$3,TAB_Personas!$B$2:$E$2,0),0)</f>
        <v>2316</v>
      </c>
      <c r="F8" s="29">
        <f>VLOOKUP($B8,TAB_Personas!$B$10:$C$14,MATCH('Per + Emp'!F$3,TAB_Personas!$B$10:$C$10,0),0)</f>
        <v>21627</v>
      </c>
    </row>
    <row r="9" spans="2:7" x14ac:dyDescent="0.25">
      <c r="B9" s="32" t="s">
        <v>43</v>
      </c>
      <c r="C9" s="28">
        <f t="shared" ref="C9" si="3">SUM(C10:C13)</f>
        <v>43832</v>
      </c>
      <c r="D9" s="28">
        <f t="shared" ref="D9" si="4">SUM(D10:D13)</f>
        <v>39256</v>
      </c>
      <c r="E9" s="28">
        <f>SUM(E10:E13)</f>
        <v>1755</v>
      </c>
      <c r="F9" s="28">
        <f t="shared" ref="F9" si="5">SUM(F10:F13)</f>
        <v>63752</v>
      </c>
    </row>
    <row r="10" spans="2:7" x14ac:dyDescent="0.25">
      <c r="B10" s="31" t="s">
        <v>39</v>
      </c>
      <c r="C10" s="29"/>
      <c r="D10" s="29"/>
      <c r="E10" s="29"/>
      <c r="F10" s="29">
        <v>343</v>
      </c>
    </row>
    <row r="11" spans="2:7" x14ac:dyDescent="0.25">
      <c r="B11" s="31" t="s">
        <v>40</v>
      </c>
      <c r="C11" s="29"/>
      <c r="D11" s="29"/>
      <c r="E11" s="29"/>
      <c r="F11" s="29">
        <v>0</v>
      </c>
    </row>
    <row r="12" spans="2:7" x14ac:dyDescent="0.25">
      <c r="B12" s="31" t="s">
        <v>41</v>
      </c>
      <c r="C12" s="29">
        <v>39884</v>
      </c>
      <c r="D12" s="29">
        <v>35755</v>
      </c>
      <c r="E12" s="29">
        <v>1579</v>
      </c>
      <c r="F12" s="29">
        <v>59022</v>
      </c>
    </row>
    <row r="13" spans="2:7" x14ac:dyDescent="0.25">
      <c r="B13" s="31" t="s">
        <v>42</v>
      </c>
      <c r="C13" s="29">
        <v>3948</v>
      </c>
      <c r="D13" s="29">
        <v>3501</v>
      </c>
      <c r="E13" s="29">
        <v>176</v>
      </c>
      <c r="F13" s="29">
        <v>4387</v>
      </c>
    </row>
    <row r="14" spans="2:7" x14ac:dyDescent="0.25">
      <c r="B14" s="30" t="s">
        <v>44</v>
      </c>
      <c r="C14" s="28">
        <f t="shared" ref="C14:D14" si="6">SUM(C15:C18)</f>
        <v>1012193</v>
      </c>
      <c r="D14" s="28">
        <f t="shared" si="6"/>
        <v>857329</v>
      </c>
      <c r="E14" s="28">
        <f>SUM(E15:E18)</f>
        <v>52098</v>
      </c>
      <c r="F14" s="28">
        <f t="shared" ref="F14" si="7">SUM(F15:F18)</f>
        <v>1513798</v>
      </c>
    </row>
    <row r="15" spans="2:7" x14ac:dyDescent="0.25">
      <c r="B15" s="31" t="s">
        <v>39</v>
      </c>
      <c r="C15" s="29">
        <f t="shared" ref="C15:E18" si="8">C5+C10</f>
        <v>4128</v>
      </c>
      <c r="D15" s="29">
        <f t="shared" si="8"/>
        <v>3695</v>
      </c>
      <c r="E15" s="29">
        <f t="shared" si="8"/>
        <v>246</v>
      </c>
      <c r="F15" s="29">
        <f t="shared" ref="F15" si="9">F5+F10</f>
        <v>6066</v>
      </c>
    </row>
    <row r="16" spans="2:7" x14ac:dyDescent="0.25">
      <c r="B16" s="31" t="s">
        <v>40</v>
      </c>
      <c r="C16" s="29">
        <f t="shared" si="8"/>
        <v>23090</v>
      </c>
      <c r="D16" s="29">
        <f t="shared" si="8"/>
        <v>22438</v>
      </c>
      <c r="E16" s="29">
        <f t="shared" si="8"/>
        <v>553</v>
      </c>
      <c r="F16" s="29">
        <f t="shared" ref="F16" si="10">F6+F11</f>
        <v>24496</v>
      </c>
    </row>
    <row r="17" spans="2:6" x14ac:dyDescent="0.25">
      <c r="B17" s="31" t="s">
        <v>41</v>
      </c>
      <c r="C17" s="29">
        <f>C7+C12</f>
        <v>943031</v>
      </c>
      <c r="D17" s="29">
        <f t="shared" si="8"/>
        <v>792788</v>
      </c>
      <c r="E17" s="29">
        <f t="shared" si="8"/>
        <v>48807</v>
      </c>
      <c r="F17" s="29">
        <f t="shared" ref="F17:F18" si="11">F7+F12</f>
        <v>1457222</v>
      </c>
    </row>
    <row r="18" spans="2:6" x14ac:dyDescent="0.25">
      <c r="B18" s="31" t="s">
        <v>42</v>
      </c>
      <c r="C18" s="29">
        <f t="shared" si="8"/>
        <v>41944</v>
      </c>
      <c r="D18" s="29">
        <f t="shared" si="8"/>
        <v>38408</v>
      </c>
      <c r="E18" s="29">
        <f t="shared" si="8"/>
        <v>2492</v>
      </c>
      <c r="F18" s="29">
        <f t="shared" si="11"/>
        <v>26014</v>
      </c>
    </row>
    <row r="19" spans="2:6" x14ac:dyDescent="0.25">
      <c r="D19" s="13"/>
    </row>
  </sheetData>
  <pageMargins left="0.7" right="0.7" top="0.75" bottom="0.75" header="0.3" footer="0.3"/>
  <pageSetup paperSize="9" orientation="portrait" r:id="rId1"/>
  <ignoredErrors>
    <ignoredError sqref="B5:B8 B10:B13 B15:B1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15CD7-1CA3-4235-AAAD-2728833F1A4A}">
  <dimension ref="B2:R60"/>
  <sheetViews>
    <sheetView showGridLines="0" topLeftCell="C1" zoomScale="85" zoomScaleNormal="85" workbookViewId="0">
      <selection activeCell="M11" sqref="M11"/>
    </sheetView>
  </sheetViews>
  <sheetFormatPr baseColWidth="10" defaultColWidth="11.42578125" defaultRowHeight="15" x14ac:dyDescent="0.25"/>
  <cols>
    <col min="1" max="1" width="5.28515625" customWidth="1"/>
    <col min="2" max="2" width="33" bestFit="1" customWidth="1"/>
    <col min="3" max="3" width="24.5703125" bestFit="1" customWidth="1"/>
    <col min="4" max="4" width="7.85546875" bestFit="1" customWidth="1"/>
    <col min="5" max="5" width="12.140625" bestFit="1" customWidth="1"/>
    <col min="6" max="6" width="12.5703125" bestFit="1" customWidth="1"/>
    <col min="7" max="8" width="12.140625" bestFit="1" customWidth="1"/>
    <col min="9" max="9" width="17.5703125" bestFit="1" customWidth="1"/>
    <col min="10" max="10" width="17.85546875" bestFit="1" customWidth="1"/>
    <col min="11" max="11" width="25.42578125" bestFit="1" customWidth="1"/>
    <col min="12" max="12" width="13.140625" bestFit="1" customWidth="1"/>
  </cols>
  <sheetData>
    <row r="2" spans="2:18" x14ac:dyDescent="0.25">
      <c r="B2" s="27" t="s">
        <v>45</v>
      </c>
      <c r="C2" s="44" t="s">
        <v>34</v>
      </c>
      <c r="D2" s="44" t="s">
        <v>35</v>
      </c>
      <c r="E2" s="35" t="s">
        <v>36</v>
      </c>
      <c r="G2" s="27" t="s">
        <v>45</v>
      </c>
      <c r="H2" s="44" t="s">
        <v>36</v>
      </c>
      <c r="I2" s="44" t="s">
        <v>46</v>
      </c>
      <c r="J2" s="44" t="s">
        <v>47</v>
      </c>
      <c r="K2" s="37" t="s">
        <v>36</v>
      </c>
      <c r="L2" s="37" t="s">
        <v>46</v>
      </c>
      <c r="M2" s="25" t="s">
        <v>48</v>
      </c>
      <c r="N2" s="25" t="s">
        <v>49</v>
      </c>
    </row>
    <row r="3" spans="2:18" x14ac:dyDescent="0.25">
      <c r="B3" s="6" t="s">
        <v>39</v>
      </c>
      <c r="C3" s="20">
        <v>4128</v>
      </c>
      <c r="D3" s="20">
        <v>3695</v>
      </c>
      <c r="E3" s="20">
        <f>K3</f>
        <v>246</v>
      </c>
      <c r="F3" s="15">
        <f>E3/C3</f>
        <v>5.9593023255813955E-2</v>
      </c>
      <c r="G3" s="6" t="s">
        <v>39</v>
      </c>
      <c r="H3" s="20">
        <v>172</v>
      </c>
      <c r="I3" s="20">
        <v>2713</v>
      </c>
      <c r="J3" s="20">
        <v>1243</v>
      </c>
      <c r="K3" s="40">
        <f>IF(J3=0,H3,ROUND(((H3/SUM(H3:I3))*J3)+H3,0))</f>
        <v>246</v>
      </c>
      <c r="L3" s="40">
        <f>SUM(H3:J3)-K3</f>
        <v>3882</v>
      </c>
      <c r="M3" s="40">
        <f t="shared" ref="M3:M4" si="0">K3-H3</f>
        <v>74</v>
      </c>
      <c r="N3" s="40">
        <f t="shared" ref="N3:N4" si="1">L3-I3</f>
        <v>1169</v>
      </c>
      <c r="Q3" s="13"/>
    </row>
    <row r="4" spans="2:18" x14ac:dyDescent="0.25">
      <c r="B4" s="6" t="s">
        <v>40</v>
      </c>
      <c r="C4" s="20">
        <v>23090</v>
      </c>
      <c r="D4" s="20">
        <v>22438</v>
      </c>
      <c r="E4" s="20">
        <f>K4</f>
        <v>553</v>
      </c>
      <c r="F4" s="15">
        <f t="shared" ref="F4:F6" si="2">E4/C4</f>
        <v>2.3949761801645732E-2</v>
      </c>
      <c r="G4" s="6" t="s">
        <v>40</v>
      </c>
      <c r="H4" s="20">
        <v>553</v>
      </c>
      <c r="I4" s="20">
        <v>22537</v>
      </c>
      <c r="J4" s="20">
        <v>0</v>
      </c>
      <c r="K4" s="40">
        <f>IF(J4=0,H4,ROUND(((H4/SUM(H4:I4))*J4)+H4,0))</f>
        <v>553</v>
      </c>
      <c r="L4" s="40">
        <f t="shared" ref="L4" si="3">SUM(H4:J4)-K4</f>
        <v>22537</v>
      </c>
      <c r="M4" s="40">
        <f t="shared" si="0"/>
        <v>0</v>
      </c>
      <c r="N4" s="40">
        <f t="shared" si="1"/>
        <v>0</v>
      </c>
    </row>
    <row r="5" spans="2:18" x14ac:dyDescent="0.25">
      <c r="B5" s="6" t="s">
        <v>41</v>
      </c>
      <c r="C5" s="20">
        <v>903147</v>
      </c>
      <c r="D5" s="20">
        <v>757033</v>
      </c>
      <c r="E5" s="20">
        <f t="shared" ref="E5:E6" si="4">K5</f>
        <v>47228</v>
      </c>
      <c r="F5" s="15">
        <f t="shared" si="2"/>
        <v>5.229270539568863E-2</v>
      </c>
      <c r="G5" s="6" t="s">
        <v>41</v>
      </c>
      <c r="H5" s="20">
        <v>36049</v>
      </c>
      <c r="I5" s="20">
        <v>653315</v>
      </c>
      <c r="J5" s="20">
        <v>213783</v>
      </c>
      <c r="K5" s="40">
        <f>IF(J5=0,H5,ROUND(((H5/SUM(H5:I5))*J5)+H5,0))</f>
        <v>47228</v>
      </c>
      <c r="L5" s="40">
        <f>SUM(H5:J5)-K5</f>
        <v>855919</v>
      </c>
      <c r="M5" s="40">
        <f>K5-H5</f>
        <v>11179</v>
      </c>
      <c r="N5" s="40">
        <f>L5-I5</f>
        <v>202604</v>
      </c>
      <c r="Q5" s="13"/>
      <c r="R5">
        <v>94697</v>
      </c>
    </row>
    <row r="6" spans="2:18" x14ac:dyDescent="0.25">
      <c r="B6" s="6" t="s">
        <v>42</v>
      </c>
      <c r="C6" s="20">
        <v>37996</v>
      </c>
      <c r="D6" s="20">
        <v>34907</v>
      </c>
      <c r="E6" s="20">
        <f t="shared" si="4"/>
        <v>2316</v>
      </c>
      <c r="F6" s="15">
        <f t="shared" si="2"/>
        <v>6.09537846089062E-2</v>
      </c>
      <c r="G6" s="6" t="s">
        <v>42</v>
      </c>
      <c r="H6" s="20">
        <v>1509</v>
      </c>
      <c r="I6" s="20">
        <v>23246</v>
      </c>
      <c r="J6" s="20">
        <v>13241</v>
      </c>
      <c r="K6" s="40">
        <f>IF(J6=0,H6,ROUND(((H6/SUM(H6:I6))*J6)+H6,0))</f>
        <v>2316</v>
      </c>
      <c r="L6" s="40">
        <f>SUM(H6:J6)-K6</f>
        <v>35680</v>
      </c>
      <c r="M6" s="40">
        <f t="shared" ref="M6:N6" si="5">K6-H6</f>
        <v>807</v>
      </c>
      <c r="N6" s="40">
        <f t="shared" si="5"/>
        <v>12434</v>
      </c>
      <c r="R6" s="13">
        <f>+R5+M5</f>
        <v>105876</v>
      </c>
    </row>
    <row r="7" spans="2:18" x14ac:dyDescent="0.25">
      <c r="B7" s="6" t="s">
        <v>50</v>
      </c>
      <c r="C7" s="20">
        <v>968361</v>
      </c>
      <c r="D7" s="20">
        <v>818073</v>
      </c>
      <c r="E7" s="36">
        <f>SUM(E3:E6)</f>
        <v>50343</v>
      </c>
      <c r="G7" s="6" t="s">
        <v>50</v>
      </c>
      <c r="H7" s="20">
        <v>38283</v>
      </c>
      <c r="I7" s="20">
        <v>701811</v>
      </c>
      <c r="J7" s="20">
        <v>228267</v>
      </c>
      <c r="K7" s="40">
        <f>SUM(K3:K6)</f>
        <v>50343</v>
      </c>
      <c r="L7" s="40">
        <f>SUM(L3:L6)</f>
        <v>918018</v>
      </c>
      <c r="M7" s="11"/>
      <c r="N7" s="11"/>
    </row>
    <row r="8" spans="2:18" x14ac:dyDescent="0.25">
      <c r="H8" s="13">
        <f>H3+M3</f>
        <v>246</v>
      </c>
      <c r="I8" s="13">
        <f>I3+N3</f>
        <v>3882</v>
      </c>
      <c r="J8" s="15">
        <f>H8/SUM(H8:I8)</f>
        <v>5.9593023255813955E-2</v>
      </c>
      <c r="M8" s="42">
        <v>20</v>
      </c>
    </row>
    <row r="9" spans="2:18" x14ac:dyDescent="0.25">
      <c r="E9" s="13"/>
      <c r="H9" s="13">
        <f t="shared" ref="H9:I9" si="6">H4+M4</f>
        <v>553</v>
      </c>
      <c r="I9" s="13">
        <f t="shared" si="6"/>
        <v>22537</v>
      </c>
      <c r="J9" s="15">
        <f t="shared" ref="J9" si="7">H9/SUM(H9:I9)</f>
        <v>2.3949761801645732E-2</v>
      </c>
      <c r="K9" s="41"/>
      <c r="M9" s="13">
        <f>+M5-M8</f>
        <v>11159</v>
      </c>
      <c r="N9" s="13">
        <f>+N5-N8</f>
        <v>202604</v>
      </c>
      <c r="Q9" s="13"/>
    </row>
    <row r="10" spans="2:18" x14ac:dyDescent="0.25">
      <c r="B10" s="18" t="s">
        <v>24</v>
      </c>
      <c r="C10" s="18" t="s">
        <v>37</v>
      </c>
      <c r="H10" s="13">
        <f>H5+M5</f>
        <v>47228</v>
      </c>
      <c r="I10" s="13">
        <f>I5+N5</f>
        <v>855919</v>
      </c>
      <c r="J10" s="15">
        <f>H10/SUM(H10:I10)</f>
        <v>5.229270539568863E-2</v>
      </c>
      <c r="K10" s="26"/>
      <c r="L10" s="13"/>
    </row>
    <row r="11" spans="2:18" x14ac:dyDescent="0.25">
      <c r="B11" s="12" t="s">
        <v>41</v>
      </c>
      <c r="C11" s="39">
        <v>1398200</v>
      </c>
      <c r="D11" s="13"/>
      <c r="E11" t="s">
        <v>51</v>
      </c>
      <c r="L11" s="13"/>
      <c r="M11" s="13">
        <f>504395+M5</f>
        <v>515574</v>
      </c>
    </row>
    <row r="12" spans="2:18" x14ac:dyDescent="0.25">
      <c r="B12" s="12" t="s">
        <v>39</v>
      </c>
      <c r="C12" s="39">
        <v>5723</v>
      </c>
      <c r="D12" s="13"/>
      <c r="K12" s="13"/>
      <c r="L12" s="13"/>
    </row>
    <row r="13" spans="2:18" x14ac:dyDescent="0.25">
      <c r="B13" s="12" t="s">
        <v>40</v>
      </c>
      <c r="C13" s="39">
        <v>24496</v>
      </c>
      <c r="D13" s="13"/>
      <c r="N13" s="13"/>
    </row>
    <row r="14" spans="2:18" x14ac:dyDescent="0.25">
      <c r="B14" s="12" t="s">
        <v>42</v>
      </c>
      <c r="C14" s="39">
        <v>21627</v>
      </c>
      <c r="D14" s="13"/>
      <c r="E14" t="s">
        <v>52</v>
      </c>
      <c r="K14" s="13"/>
      <c r="L14" s="13"/>
    </row>
    <row r="18" spans="2:13" x14ac:dyDescent="0.25">
      <c r="M18" s="13"/>
    </row>
    <row r="19" spans="2:13" x14ac:dyDescent="0.25">
      <c r="B19" s="27" t="s">
        <v>34</v>
      </c>
      <c r="C19" s="27" t="s">
        <v>53</v>
      </c>
      <c r="K19" s="15"/>
    </row>
    <row r="20" spans="2:13" x14ac:dyDescent="0.25">
      <c r="B20" s="27" t="s">
        <v>45</v>
      </c>
      <c r="C20" s="44" t="s">
        <v>54</v>
      </c>
      <c r="D20" s="44" t="s">
        <v>55</v>
      </c>
      <c r="E20" t="s">
        <v>50</v>
      </c>
      <c r="K20" s="15"/>
    </row>
    <row r="21" spans="2:13" x14ac:dyDescent="0.25">
      <c r="B21" s="6" t="s">
        <v>39</v>
      </c>
      <c r="C21" s="20">
        <v>3274</v>
      </c>
      <c r="D21" s="20">
        <v>854</v>
      </c>
      <c r="E21" s="20">
        <v>4128</v>
      </c>
    </row>
    <row r="22" spans="2:13" x14ac:dyDescent="0.25">
      <c r="B22" s="6" t="s">
        <v>40</v>
      </c>
      <c r="C22" s="20">
        <v>23090</v>
      </c>
      <c r="D22" s="20">
        <v>0</v>
      </c>
      <c r="E22" s="20">
        <v>23090</v>
      </c>
    </row>
    <row r="23" spans="2:13" x14ac:dyDescent="0.25">
      <c r="B23" s="6" t="s">
        <v>41</v>
      </c>
      <c r="C23" s="20">
        <v>691812</v>
      </c>
      <c r="D23" s="20">
        <v>211335</v>
      </c>
      <c r="E23" s="20">
        <v>903147</v>
      </c>
    </row>
    <row r="24" spans="2:13" x14ac:dyDescent="0.25">
      <c r="B24" s="6" t="s">
        <v>42</v>
      </c>
      <c r="C24" s="20">
        <v>31635</v>
      </c>
      <c r="D24" s="20">
        <v>6361</v>
      </c>
      <c r="E24" s="20">
        <v>37996</v>
      </c>
    </row>
    <row r="25" spans="2:13" x14ac:dyDescent="0.25">
      <c r="B25" s="6" t="s">
        <v>50</v>
      </c>
      <c r="C25" s="20">
        <v>749811</v>
      </c>
      <c r="D25" s="20">
        <v>218550</v>
      </c>
      <c r="E25" s="20">
        <v>968361</v>
      </c>
    </row>
    <row r="26" spans="2:13" x14ac:dyDescent="0.25">
      <c r="B26" s="6"/>
      <c r="C26" s="20"/>
      <c r="D26" s="20"/>
      <c r="E26" s="20"/>
    </row>
    <row r="27" spans="2:13" x14ac:dyDescent="0.25">
      <c r="B27" s="47" t="s">
        <v>56</v>
      </c>
      <c r="C27" s="11" t="s">
        <v>82</v>
      </c>
    </row>
    <row r="29" spans="2:13" x14ac:dyDescent="0.25">
      <c r="B29" s="47" t="s">
        <v>34</v>
      </c>
      <c r="C29" s="47" t="s">
        <v>53</v>
      </c>
      <c r="D29" s="11"/>
      <c r="E29" s="11"/>
      <c r="H29" s="27" t="s">
        <v>45</v>
      </c>
      <c r="I29" t="s">
        <v>71</v>
      </c>
      <c r="J29" s="44" t="s">
        <v>34</v>
      </c>
      <c r="K29" s="44" t="s">
        <v>35</v>
      </c>
    </row>
    <row r="30" spans="2:13" x14ac:dyDescent="0.25">
      <c r="B30" s="47" t="s">
        <v>45</v>
      </c>
      <c r="C30" s="11" t="s">
        <v>54</v>
      </c>
      <c r="D30" s="11" t="s">
        <v>55</v>
      </c>
      <c r="E30" s="11" t="s">
        <v>50</v>
      </c>
      <c r="H30" s="6" t="s">
        <v>41</v>
      </c>
      <c r="I30" s="46">
        <v>946444</v>
      </c>
      <c r="J30" s="20">
        <v>903147</v>
      </c>
      <c r="K30" s="20">
        <v>757033</v>
      </c>
    </row>
    <row r="31" spans="2:13" x14ac:dyDescent="0.25">
      <c r="B31" s="11" t="s">
        <v>59</v>
      </c>
      <c r="C31" s="40">
        <v>225830</v>
      </c>
      <c r="D31" s="40">
        <v>151891</v>
      </c>
      <c r="E31" s="40">
        <v>377721</v>
      </c>
      <c r="H31" s="6" t="s">
        <v>40</v>
      </c>
      <c r="I31" s="46">
        <v>24500</v>
      </c>
      <c r="J31" s="20">
        <v>23090</v>
      </c>
      <c r="K31" s="20">
        <v>22438</v>
      </c>
    </row>
    <row r="32" spans="2:13" x14ac:dyDescent="0.25">
      <c r="B32" s="11" t="s">
        <v>63</v>
      </c>
      <c r="C32" s="40">
        <v>139824</v>
      </c>
      <c r="D32" s="40"/>
      <c r="E32" s="40">
        <v>139824</v>
      </c>
      <c r="H32" s="6" t="s">
        <v>39</v>
      </c>
      <c r="I32" s="46">
        <v>4490</v>
      </c>
      <c r="J32" s="20">
        <v>4128</v>
      </c>
      <c r="K32" s="20">
        <v>3695</v>
      </c>
    </row>
    <row r="33" spans="2:11" x14ac:dyDescent="0.25">
      <c r="B33" s="11" t="s">
        <v>60</v>
      </c>
      <c r="C33" s="40">
        <v>129913</v>
      </c>
      <c r="D33" s="40">
        <v>3433</v>
      </c>
      <c r="E33" s="40">
        <v>133346</v>
      </c>
      <c r="H33" s="6" t="s">
        <v>50</v>
      </c>
      <c r="I33" s="46">
        <v>975434</v>
      </c>
      <c r="J33" s="20">
        <v>930365</v>
      </c>
      <c r="K33" s="20">
        <v>783166</v>
      </c>
    </row>
    <row r="34" spans="2:11" x14ac:dyDescent="0.25">
      <c r="B34" s="11" t="s">
        <v>61</v>
      </c>
      <c r="C34" s="40">
        <v>63043</v>
      </c>
      <c r="D34" s="40">
        <v>41612</v>
      </c>
      <c r="E34" s="40">
        <v>104655</v>
      </c>
    </row>
    <row r="35" spans="2:11" x14ac:dyDescent="0.25">
      <c r="B35" s="11" t="s">
        <v>67</v>
      </c>
      <c r="C35" s="40">
        <v>22100</v>
      </c>
      <c r="D35" s="40">
        <v>10770</v>
      </c>
      <c r="E35" s="40">
        <v>32870</v>
      </c>
    </row>
    <row r="36" spans="2:11" x14ac:dyDescent="0.25">
      <c r="B36" s="11" t="s">
        <v>78</v>
      </c>
      <c r="C36" s="40">
        <v>25752</v>
      </c>
      <c r="D36" s="40"/>
      <c r="E36" s="40">
        <v>25752</v>
      </c>
    </row>
    <row r="37" spans="2:11" x14ac:dyDescent="0.25">
      <c r="B37" s="11" t="s">
        <v>80</v>
      </c>
      <c r="C37" s="40">
        <v>23090</v>
      </c>
      <c r="D37" s="40"/>
      <c r="E37" s="40">
        <v>23090</v>
      </c>
    </row>
    <row r="38" spans="2:11" x14ac:dyDescent="0.25">
      <c r="B38" s="11" t="s">
        <v>57</v>
      </c>
      <c r="C38" s="40">
        <v>21218</v>
      </c>
      <c r="D38" s="40"/>
      <c r="E38" s="40">
        <v>21218</v>
      </c>
    </row>
    <row r="39" spans="2:11" x14ac:dyDescent="0.25">
      <c r="B39" s="11" t="s">
        <v>64</v>
      </c>
      <c r="C39" s="40">
        <v>12457</v>
      </c>
      <c r="D39" s="40"/>
      <c r="E39" s="40">
        <v>12457</v>
      </c>
    </row>
    <row r="40" spans="2:11" x14ac:dyDescent="0.25">
      <c r="B40" s="11" t="s">
        <v>75</v>
      </c>
      <c r="C40" s="40">
        <v>12304</v>
      </c>
      <c r="D40" s="40"/>
      <c r="E40" s="40">
        <v>12304</v>
      </c>
    </row>
    <row r="41" spans="2:11" x14ac:dyDescent="0.25">
      <c r="B41" s="11" t="s">
        <v>74</v>
      </c>
      <c r="C41" s="40">
        <v>10551</v>
      </c>
      <c r="D41" s="40"/>
      <c r="E41" s="40">
        <v>10551</v>
      </c>
    </row>
    <row r="42" spans="2:11" x14ac:dyDescent="0.25">
      <c r="B42" s="11" t="s">
        <v>62</v>
      </c>
      <c r="C42" s="40">
        <v>10132</v>
      </c>
      <c r="D42" s="40">
        <v>247</v>
      </c>
      <c r="E42" s="40">
        <v>10379</v>
      </c>
    </row>
    <row r="43" spans="2:11" x14ac:dyDescent="0.25">
      <c r="B43" s="11" t="s">
        <v>84</v>
      </c>
      <c r="C43" s="40">
        <v>3725</v>
      </c>
      <c r="D43" s="40">
        <v>2959</v>
      </c>
      <c r="E43" s="40">
        <v>6684</v>
      </c>
    </row>
    <row r="44" spans="2:11" x14ac:dyDescent="0.25">
      <c r="B44" s="11" t="s">
        <v>69</v>
      </c>
      <c r="C44" s="40">
        <v>6036</v>
      </c>
      <c r="D44" s="40">
        <v>0</v>
      </c>
      <c r="E44" s="40">
        <v>6036</v>
      </c>
    </row>
    <row r="45" spans="2:11" x14ac:dyDescent="0.25">
      <c r="B45" s="11" t="s">
        <v>70</v>
      </c>
      <c r="C45" s="40">
        <v>5915</v>
      </c>
      <c r="D45" s="40">
        <v>10</v>
      </c>
      <c r="E45" s="40">
        <v>5925</v>
      </c>
    </row>
    <row r="46" spans="2:11" x14ac:dyDescent="0.25">
      <c r="B46" s="11" t="s">
        <v>68</v>
      </c>
      <c r="C46" s="40">
        <v>3473</v>
      </c>
      <c r="D46" s="40"/>
      <c r="E46" s="40">
        <v>3473</v>
      </c>
    </row>
    <row r="47" spans="2:11" x14ac:dyDescent="0.25">
      <c r="B47" s="11" t="s">
        <v>83</v>
      </c>
      <c r="C47" s="40">
        <v>1098</v>
      </c>
      <c r="D47" s="40">
        <v>854</v>
      </c>
      <c r="E47" s="40">
        <v>1952</v>
      </c>
    </row>
    <row r="48" spans="2:11" x14ac:dyDescent="0.25">
      <c r="B48" s="11" t="s">
        <v>81</v>
      </c>
      <c r="C48" s="40">
        <v>933</v>
      </c>
      <c r="D48" s="40"/>
      <c r="E48" s="40">
        <v>933</v>
      </c>
    </row>
    <row r="49" spans="2:5" x14ac:dyDescent="0.25">
      <c r="B49" s="11" t="s">
        <v>65</v>
      </c>
      <c r="C49" s="40">
        <v>495</v>
      </c>
      <c r="D49" s="40">
        <v>213</v>
      </c>
      <c r="E49" s="40">
        <v>708</v>
      </c>
    </row>
    <row r="50" spans="2:5" x14ac:dyDescent="0.25">
      <c r="B50" s="11" t="s">
        <v>66</v>
      </c>
      <c r="C50" s="40">
        <v>285</v>
      </c>
      <c r="D50" s="40"/>
      <c r="E50" s="40">
        <v>285</v>
      </c>
    </row>
    <row r="51" spans="2:5" x14ac:dyDescent="0.25">
      <c r="B51" s="11" t="s">
        <v>77</v>
      </c>
      <c r="C51" s="40"/>
      <c r="D51" s="40">
        <v>200</v>
      </c>
      <c r="E51" s="40">
        <v>200</v>
      </c>
    </row>
    <row r="52" spans="2:5" x14ac:dyDescent="0.25">
      <c r="B52" s="11" t="s">
        <v>73</v>
      </c>
      <c r="C52" s="40">
        <v>2</v>
      </c>
      <c r="D52" s="40">
        <v>0</v>
      </c>
      <c r="E52" s="40">
        <v>2</v>
      </c>
    </row>
    <row r="53" spans="2:5" x14ac:dyDescent="0.25">
      <c r="B53" s="11" t="s">
        <v>79</v>
      </c>
      <c r="C53" s="40"/>
      <c r="D53" s="40">
        <v>0</v>
      </c>
      <c r="E53" s="40">
        <v>0</v>
      </c>
    </row>
    <row r="54" spans="2:5" x14ac:dyDescent="0.25">
      <c r="B54" s="11" t="s">
        <v>58</v>
      </c>
      <c r="C54" s="40"/>
      <c r="D54" s="40">
        <v>0</v>
      </c>
      <c r="E54" s="40">
        <v>0</v>
      </c>
    </row>
    <row r="55" spans="2:5" x14ac:dyDescent="0.25">
      <c r="B55" s="11" t="s">
        <v>76</v>
      </c>
      <c r="C55" s="40"/>
      <c r="D55" s="40">
        <v>0</v>
      </c>
      <c r="E55" s="40">
        <v>0</v>
      </c>
    </row>
    <row r="56" spans="2:5" x14ac:dyDescent="0.25">
      <c r="B56" s="11" t="s">
        <v>72</v>
      </c>
      <c r="C56" s="40"/>
      <c r="D56" s="40">
        <v>0</v>
      </c>
      <c r="E56" s="40">
        <v>0</v>
      </c>
    </row>
    <row r="57" spans="2:5" x14ac:dyDescent="0.25">
      <c r="B57" s="11" t="s">
        <v>50</v>
      </c>
      <c r="C57" s="40">
        <v>718176</v>
      </c>
      <c r="D57" s="40">
        <v>212189</v>
      </c>
      <c r="E57" s="40">
        <v>930365</v>
      </c>
    </row>
    <row r="59" spans="2:5" x14ac:dyDescent="0.25">
      <c r="D59" s="40"/>
    </row>
    <row r="60" spans="2:5" x14ac:dyDescent="0.25">
      <c r="D60" s="13"/>
    </row>
  </sheetData>
  <pageMargins left="0.7" right="0.7" top="0.75" bottom="0.75" header="0.3" footer="0.3"/>
  <pageSetup paperSize="9" orientation="portrait"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4A983BEA7435549AA5D870022B1A98D" ma:contentTypeVersion="6" ma:contentTypeDescription="Crear nuevo documento." ma:contentTypeScope="" ma:versionID="dc52ee8a7d8e4c3f65173e68fe2f496b">
  <xsd:schema xmlns:xsd="http://www.w3.org/2001/XMLSchema" xmlns:xs="http://www.w3.org/2001/XMLSchema" xmlns:p="http://schemas.microsoft.com/office/2006/metadata/properties" xmlns:ns2="87c58f6d-7681-40ae-805e-9e0c5da34b34" xmlns:ns3="0207309e-8b61-4033-ad7d-bc1674d1fc83" targetNamespace="http://schemas.microsoft.com/office/2006/metadata/properties" ma:root="true" ma:fieldsID="ee0ba9138e6e7c080d031deabe659985" ns2:_="" ns3:_="">
    <xsd:import namespace="87c58f6d-7681-40ae-805e-9e0c5da34b34"/>
    <xsd:import namespace="0207309e-8b61-4033-ad7d-bc1674d1fc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c58f6d-7681-40ae-805e-9e0c5da34b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07309e-8b61-4033-ad7d-bc1674d1fc8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s q m i d = " 5 b f 5 1 3 4 b - a 2 1 e - 4 2 6 0 - a b 0 5 - 6 3 8 a 0 2 4 6 e 0 a 8 "   x m l n s = " h t t p : / / s c h e m a s . m i c r o s o f t . c o m / D a t a M a s h u p " > A A A A A P Q G A A B Q S w M E F A A C A A g A l q P y V B s M Z d q l A A A A 9 w A A A B I A H A B D b 2 5 m a W c v U G F j a 2 F n Z S 5 4 b W w g o h g A K K A U A A A A A A A A A A A A A A A A A A A A A A A A A A A A h Y 9 N C s I w G E S v U r J v / k S Q 8 j V d i D s L B U H c h j S 2 w T a V J j W 9 m w u P 5 B W s a N W d y 3 n z F j P 3 6 w 2 y s W 2 i i + 6 d 6 W y K G K Y o 0 l Z 1 p b F V i g Z / j F c o E 1 B I d Z K V j i b Z u m R 0 Z Y p q 7 8 8 J I S E E H B a 4 6 y v C K W X k k G 9 3 q t a t R B / Z / J d j Y 5 2 X V m k k Y P 8 a I z h m d I k Z 5 x x T I D O F 3 N i v w a f B z / Y H w n p o / N B r o V 1 c b I D M E c j 7 h H g A U E s D B B Q A A g A I A J a j 8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W o / J U d 9 y G T O 0 D A A D c I A A A E w A c A E Z v c m 1 1 b G F z L 1 N l Y 3 R p b 2 4 x L m 0 g o h g A K K A U A A A A A A A A A A A A A A A A A A A A A A A A A A A A 7 V r N b u M 2 E L 4 H y D s M 1 I N s w A l s B + h l k w V o i X a I U q S W p J 0 u i s J Q H W 1 i w B s v b O 8 C P f Y Z + k j 7 Y j v U n y X / 1 P Y 2 D Z p W O s T Q z H D + + I k z Q 2 Q Z T 1 b T + R P o 9 L f z 5 v z s / G z 5 G C 3 i e w i p 0 l I Q D T c w i 1 f n Z 4 C P X E w f 4 i e k y E U 0 m c W X f r S K f o u W c c M J 7 z Q P L u + k 4 r 7 T g l 9 u p / E i W k w e p 5 N o J q I v 0 4 f I 6 r 9 Z L T 7 H L X j 3 O V 7 8 f u N o y q l n Q A w D N M W k L 1 s j 7 9 Y j 3 P 6 E n B j S l y o g Y 0 0 H A R W G e E y K F i B P U z V i + N b 6 o T H 7 0 P S I p g B 3 t 1 T A / n X A B D T c k X 3 V c C s H R L k t t 8 9 6 i u S / E C r Z 4 z Q g G i l M G K o E N U U O 3 B Z s E 8 H 4 d J c w k B H G k y h K V S v q c R J I 7 T b B W D 9 3 6 E 9 C g e Q 5 K h T T Z 6 g e / y Z O 5 H o t 9 V R N P k P 3 j M Q N A B q E i u o 0 2 h K 5 c D I 3 s + a d b K 3 H 5 b s h l b q U 2 R J N a h O S g a z Q F E 1 I u e 2 M k R q + u D j B d K 4 d K G f G b l x B Q F / 6 j B N f A u e E l D m K C j n K d I x U Z Y 2 i C C f L Q W r w 9 Q 9 d U L 7 + K U A q W R b G 1 w w s 6 / X o K h M S 3 o P P S E C E O c D N 1 n t E E L 4 d Q V 8 R z / p C A o Z B V 2 x z J q j F p M 8 S A U 7 1 X 3 O B h O G e F G x w d q y 9 A F F K p w t Q T U K x i 8 V O l / A D c C q Y K v k t P j I 0 O V + u P k U P c 6 A f P 8 3 i 6 H 5 e j c e k + 5 Y k A i H P K b q q A V V T X h G U m E 0 x K J N q 5 L w U c j Z w s 5 k R 9 N U n + n D c J U l P C h Q Y 2 D y T Y x V s S 2 X 7 U b C 2 A L 0 b y c M Q Q 2 u U a l d z A 8 E 5 e k u 1 o 0 C x i i e z 6 O N 8 C e R L v J h G S 8 t L T 8 X 1 s k 6 7 u 4 c M P y H U P U P W r m Z C d s k R f g p p n s f X k v R 3 e U + E f / h E y F R k m M n e s q 3 d z E D 1 8 K E c + w h X G o V H C B 4 G P j h O n g T H K b U a 1 T z t 8 a a 5 V V t L 9 W 5 X x c 1 d 6 7 S v c r f + U e D 8 3 c 3 I v e 2 6 a 6 y / l h 5 s 9 Y g t r N u 5 u n K z T e 9 0 r / I t T 0 7 J f L 8 r d c m T Q 2 E a n S Y K o S 7 W Y / j 5 5 4 J 6 G D T W 4 L B d L B 4 2 V B v i E + y V X c 3 c N G G d 1 G D b G r O K C J Y i / 0 R F 9 j P A l t m M P c k J X N 9 A t 3 1 A + f i 6 2 z 7 R Q M J Q h o 6 x r A U Z j w x s i d w T S S q N i r V U z 2 D L 4 + y g s U z m G a y J O U z v 4 6 f V 9 A O O K 9 g t 7 L Y q 5 J j 5 a J H 1 m Y c l y n E y j P S V D I D + H H p j J v q X Q + m P 8 Q M Q L D e g U z H 0 S l H Y e t b D T / p 5 d N v d b v t H F z v b 0 p N o s M 7 X s 0 4 9 6 9 S z z r + z Y / 3 + W a e e e G r 8 v O K J 5 6 V m n e d p W e v p 5 7 j p 5 / p t / p r K D Z Q c h t B 7 f 9 p 1 b X 1 b W 3 c w d Q f z S i r Q k R 1 M f U t b I + Y / 1 L O 8 3 G V t 3 c C 8 Z A N T X 9 n + H 6 5 s s 0 i c X 5 v n Z 9 O n 8 j 8 p v P k G U E s B A i 0 A F A A C A A g A l q P y V B s M Z d q l A A A A 9 w A A A B I A A A A A A A A A A A A A A A A A A A A A A E N v b m Z p Z y 9 Q Y W N r Y W d l L n h t b F B L A Q I t A B Q A A g A I A J a j 8 l Q P y u m r p A A A A O k A A A A T A A A A A A A A A A A A A A A A A P E A A A B b Q 2 9 u d G V u d F 9 U e X B l c 1 0 u e G 1 s U E s B A i 0 A F A A C A A g A l q P y V H f c h k z t A w A A 3 C A A A B M A A A A A A A A A A A A A A A A A 4 g E A A E Z v c m 1 1 b G F z L 1 N l Y 3 R p b 2 4 x L m 1 Q S w U G A A A A A A M A A w D C A A A A H A Y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t w 0 A A A A A A A C V D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F U l N P T k F T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1 B p d m 9 0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Q a X Z v d E 9 i a m V j d E 5 h b W U i I F Z h b H V l P S J z V E F C X 1 B l c n N v b m F z I V R h Y m x h R G l u w 6 F t a W N h N i I g L z 4 8 R W 5 0 c n k g V H l w Z T 0 i R m l s b G V k Q 2 9 t c G x l d G V S Z X N 1 b H R U b 1 d v c m t z a G V l d C I g V m F s d W U 9 I m w w I i A v P j x F b n R y e S B U e X B l P S J R d W V y e U l E I i B W Y W x 1 Z T 0 i c z E 2 Y j N l Y j I 2 L W U 4 Y z U t N G Z m N y 0 5 N 2 U 5 L W M w Z j E w O D U 2 M z U 5 N S I g L z 4 8 R W 5 0 c n k g V H l w Z T 0 i T G 9 h Z G V k V G 9 B b m F s e X N p c 1 N l c n Z p Y 2 V z I i B W Y W x 1 Z T 0 i b D A i I C 8 + P E V u d H J 5 I F R 5 c G U 9 I k Z p b G x M Y X N 0 V X B k Y X R l Z C I g V m F s d W U 9 I m Q y M D I y L T A 3 L T E 5 V D A x O j I 4 O j Q 1 L j M 5 O T Y 0 N T l a I i A v P j x F b n R y e S B U e X B l P S J G a W x s Q 2 9 s d W 1 u V H l w Z X M i I F Z h b H V l P S J z R H d Z R 0 J n W U d E d z h Q R H c 4 U C I g L z 4 8 R W 5 0 c n k g V H l w Z T 0 i R m l s b E N v b H V t b k 5 h b W V z I i B W Y W x 1 Z T 0 i c 1 s m c X V v d D t O V U 1 Q R V J J T 0 R P J n F 1 b 3 Q 7 L C Z x d W 9 0 O 1 Z D S E N B T C Z x d W 9 0 O y w m c X V v d D t W Q 0 h Q T E F U Q U Z P U k 1 B X 1 N F R 0 1 F T l R B Q 0 l P T i Z x d W 9 0 O y w m c X V v d D t W Q 0 h T R V J W S U N J T y Z x d W 9 0 O y w m c X V v d D t T R V J W S U N J T y Z x d W 9 0 O y w m c X V v d D t D Q U 5 B T C Z x d W 9 0 O y w m c X V v d D t S R U N J Q k l E Q V M m c X V v d D s s J n F 1 b 3 Q 7 Q V R F T k R J R E F T J n F 1 b 3 Q 7 L C Z x d W 9 0 O 0 F U R U 5 E S U R B U 1 9 c d T A w M 2 M y M C Z x d W 9 0 O y w m c X V v d D t D T 1 J U R V 9 B U 0 V T T 1 I m c X V v d D s s J n F 1 b 3 Q 7 Q 0 9 S V E V f Q 0 x J R U 5 U R S Z x d W 9 0 O y w m c X V v d D t O T 1 9 J R E V O V E l G S U N B R E 8 m c X V v d D t d I i A v P j x F b n R y e S B U e X B l P S J G a W x s R X J y b 3 J D b 3 V u d C I g V m F s d W U 9 I m w w I i A v P j x F b n R y e S B U e X B l P S J G a W x s U 3 R h d H V z I i B W Y W x 1 Z T 0 i c 0 N v b X B s Z X R l I i A v P j x F b n R y e S B U e X B l P S J G a W x s R X J y b 3 J D b 2 R l I i B W Y W x 1 Z T 0 i c 1 V u a 2 5 v d 2 4 i I C 8 + P E V u d H J 5 I F R 5 c G U 9 I k Z p b G x D b 3 V u d C I g V m F s d W U 9 I m w 4 O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E V S U 0 9 O Q V M v T 3 J p Z 2 V u L n t O V U 1 Q R V J J T 0 R P L D B 9 J n F 1 b 3 Q 7 L C Z x d W 9 0 O 1 N l Y 3 R p b 2 4 x L 1 B F U l N P T k F T L 0 9 y a W d l b i 5 7 V k N I Q 0 F M L D F 9 J n F 1 b 3 Q 7 L C Z x d W 9 0 O 1 N l Y 3 R p b 2 4 x L 1 B F U l N P T k F T L 0 9 y a W d l b i 5 7 V k N I U E x B V E F G T 1 J N Q V 9 T R U d N R U 5 U Q U N J T 0 4 s M n 0 m c X V v d D s s J n F 1 b 3 Q 7 U 2 V j d G l v b j E v U E V S U 0 9 O Q V M v T 3 J p Z 2 V u L n t W Q 0 h T R V J W S U N J T y w z f S Z x d W 9 0 O y w m c X V v d D t T Z W N 0 a W 9 u M S 9 Q R V J T T 0 5 B U y 9 P c m l n Z W 4 u e 1 N F U l Z J Q 0 l P L D R 9 J n F 1 b 3 Q 7 L C Z x d W 9 0 O 1 N l Y 3 R p b 2 4 x L 1 B F U l N P T k F T L 0 9 y a W d l b i 5 7 Q 0 F O Q U w s N X 0 m c X V v d D s s J n F 1 b 3 Q 7 U 2 V j d G l v b j E v U E V S U 0 9 O Q V M v T 3 J p Z 2 V u L n t S R U N J Q k l E Q V M s N n 0 m c X V v d D s s J n F 1 b 3 Q 7 U 2 V j d G l v b j E v U E V S U 0 9 O Q V M v T 3 J p Z 2 V u L n t B V E V O R E l E Q V M s N 3 0 m c X V v d D s s J n F 1 b 3 Q 7 U 2 V j d G l v b j E v U E V S U 0 9 O Q V M v T 3 J p Z 2 V u L n t B V E V O R E l E Q V N f X H U w M D N j M j A s O H 0 m c X V v d D s s J n F 1 b 3 Q 7 U 2 V j d G l v b j E v U E V S U 0 9 O Q V M v T 3 J p Z 2 V u L n t D T 1 J U R V 9 B U 0 V T T 1 I s O X 0 m c X V v d D s s J n F 1 b 3 Q 7 U 2 V j d G l v b j E v U E V S U 0 9 O Q V M v T 3 J p Z 2 V u L n t D T 1 J U R V 9 D T E l F T l R F L D E w f S Z x d W 9 0 O y w m c X V v d D t T Z W N 0 a W 9 u M S 9 Q R V J T T 0 5 B U y 9 P c m l n Z W 4 u e 0 5 P X 0 l E R U 5 U S U Z J Q 0 F E T y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B F U l N P T k F T L 0 9 y a W d l b i 5 7 T l V N U E V S S U 9 E T y w w f S Z x d W 9 0 O y w m c X V v d D t T Z W N 0 a W 9 u M S 9 Q R V J T T 0 5 B U y 9 P c m l n Z W 4 u e 1 Z D S E N B T C w x f S Z x d W 9 0 O y w m c X V v d D t T Z W N 0 a W 9 u M S 9 Q R V J T T 0 5 B U y 9 P c m l n Z W 4 u e 1 Z D S F B M Q V R B R k 9 S T U F f U 0 V H T U V O V E F D S U 9 O L D J 9 J n F 1 b 3 Q 7 L C Z x d W 9 0 O 1 N l Y 3 R p b 2 4 x L 1 B F U l N P T k F T L 0 9 y a W d l b i 5 7 V k N I U 0 V S V k l D S U 8 s M 3 0 m c X V v d D s s J n F 1 b 3 Q 7 U 2 V j d G l v b j E v U E V S U 0 9 O Q V M v T 3 J p Z 2 V u L n t T R V J W S U N J T y w 0 f S Z x d W 9 0 O y w m c X V v d D t T Z W N 0 a W 9 u M S 9 Q R V J T T 0 5 B U y 9 P c m l n Z W 4 u e 0 N B T k F M L D V 9 J n F 1 b 3 Q 7 L C Z x d W 9 0 O 1 N l Y 3 R p b 2 4 x L 1 B F U l N P T k F T L 0 9 y a W d l b i 5 7 U k V D S U J J R E F T L D Z 9 J n F 1 b 3 Q 7 L C Z x d W 9 0 O 1 N l Y 3 R p b 2 4 x L 1 B F U l N P T k F T L 0 9 y a W d l b i 5 7 Q V R F T k R J R E F T L D d 9 J n F 1 b 3 Q 7 L C Z x d W 9 0 O 1 N l Y 3 R p b 2 4 x L 1 B F U l N P T k F T L 0 9 y a W d l b i 5 7 Q V R F T k R J R E F T X 1 x 1 M D A z Y z I w L D h 9 J n F 1 b 3 Q 7 L C Z x d W 9 0 O 1 N l Y 3 R p b 2 4 x L 1 B F U l N P T k F T L 0 9 y a W d l b i 5 7 Q 0 9 S V E V f Q V N F U 0 9 S L D l 9 J n F 1 b 3 Q 7 L C Z x d W 9 0 O 1 N l Y 3 R p b 2 4 x L 1 B F U l N P T k F T L 0 9 y a W d l b i 5 7 Q 0 9 S V E V f Q 0 x J R U 5 U R S w x M H 0 m c X V v d D s s J n F 1 b 3 Q 7 U 2 V j d G l v b j E v U E V S U 0 9 O Q V M v T 3 J p Z 2 V u L n t O T 1 9 J R E V O V E l G S U N B R E 8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Q R V J T T 0 5 B U y 9 P c m l n Z W 4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M 1 a E c P T r 8 U C y C R p 0 8 J h h W w A A A A A C A A A A A A A D Z g A A w A A A A B A A A A A u A X F b F N O 4 K i y C N F v W w v y G A A A A A A S A A A C g A A A A E A A A A H K R c x K Z O n g 9 R L b d 3 I S K s X R Q A A A A a C H C d A t n q i A P I g M F 2 L x Y P e F 2 e K 2 w X c W Y F 8 N x Z E f s Q r w G P k I p L L o L d + j r S z g B n J L F b G d K x Y J / o X M f 7 l a w R 1 X g h q w P U i 9 F 2 Y W x Z k c x 0 h I l r L o U A A A A u v F z 2 g r x k w W b R Q v K 1 D W 3 l b 7 a D s w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56AC00-0364-41F7-BDDB-4DE8BC2A6C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879833-7E63-43A1-A06D-7947203C7AC2}"/>
</file>

<file path=customXml/itemProps3.xml><?xml version="1.0" encoding="utf-8"?>
<ds:datastoreItem xmlns:ds="http://schemas.openxmlformats.org/officeDocument/2006/customXml" ds:itemID="{C046A4FD-B469-4214-B923-48541D35109D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2D72D0C4-2850-43B8-99D9-160D0D4E3E6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Anexo F (CSA)</vt:lpstr>
      <vt:lpstr>Anexo G (TEAP)</vt:lpstr>
      <vt:lpstr>Anexo H (DAP)</vt:lpstr>
      <vt:lpstr>Anexo I (CAT)</vt:lpstr>
      <vt:lpstr>Anexo J (AVH)</vt:lpstr>
      <vt:lpstr>Per + Emp</vt:lpstr>
      <vt:lpstr>TAB_Personas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ubenitest</dc:creator>
  <cp:keywords/>
  <dc:description/>
  <cp:lastModifiedBy>Velasquez Alfaro Leonardo Paolo</cp:lastModifiedBy>
  <cp:revision/>
  <dcterms:created xsi:type="dcterms:W3CDTF">2013-11-15T20:02:00Z</dcterms:created>
  <dcterms:modified xsi:type="dcterms:W3CDTF">2022-07-19T21:28:43Z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0x01010094A983BEA7435549AA5D870022B1A98D</vt:lpwstr>
  </property>
</Properties>
</file>